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835" windowHeight="11760" activeTab="2"/>
  </bookViews>
  <sheets>
    <sheet name="Refresher V1" sheetId="1" r:id="rId1"/>
    <sheet name="Refresher V2" sheetId="2" r:id="rId2"/>
    <sheet name="Gulp" sheetId="3" r:id="rId3"/>
    <sheet name="Engines" sheetId="4" r:id="rId4"/>
  </sheets>
  <definedNames/>
  <calcPr fullCalcOnLoad="1"/>
</workbook>
</file>

<file path=xl/sharedStrings.xml><?xml version="1.0" encoding="utf-8"?>
<sst xmlns="http://schemas.openxmlformats.org/spreadsheetml/2006/main" count="309" uniqueCount="129">
  <si>
    <t>Engine</t>
  </si>
  <si>
    <t>Mass</t>
  </si>
  <si>
    <t>ISP</t>
  </si>
  <si>
    <t>None</t>
  </si>
  <si>
    <t>Swivel</t>
  </si>
  <si>
    <t>Thrust</t>
  </si>
  <si>
    <t>Skipper</t>
  </si>
  <si>
    <t>Thud</t>
  </si>
  <si>
    <t>Fuel</t>
  </si>
  <si>
    <t>M</t>
  </si>
  <si>
    <t>M'</t>
  </si>
  <si>
    <t>DV</t>
  </si>
  <si>
    <t>LV-1R "Spider" Liquid Fuel Engine</t>
  </si>
  <si>
    <t>Radial mounted</t>
  </si>
  <si>
    <t>2 000</t>
  </si>
  <si>
    <t>24-77 "Twitch" Liquid Fuel Engine</t>
  </si>
  <si>
    <t>Mk-55 "Thud" Liquid Fuel Engine</t>
  </si>
  <si>
    <t>LV-1 "Ant" Liquid Fuel Engine</t>
  </si>
  <si>
    <t>Tiny</t>
  </si>
  <si>
    <t>48-7S "Spark" Liquid Fuel Engine</t>
  </si>
  <si>
    <t>LV-909 "Terrier" Liquid Fuel Engine</t>
  </si>
  <si>
    <t>Small</t>
  </si>
  <si>
    <t>LV-T30 "Reliant" Liquid Fuel Engine</t>
  </si>
  <si>
    <t>LV-T45 "Swivel" Liquid Fuel Engine</t>
  </si>
  <si>
    <t>S3 KS-25 "Vector" Liquid Fuel Engine</t>
  </si>
  <si>
    <t>RE-L10 "Poodle" Liquid Fuel Engine</t>
  </si>
  <si>
    <t>Large</t>
  </si>
  <si>
    <t>RE-I5 "Skipper" Liquid Fuel Engine</t>
  </si>
  <si>
    <t>Kerbodyne KR-2L+ "Rhino" Liquid Fuel Engine</t>
  </si>
  <si>
    <t>Extra large</t>
  </si>
  <si>
    <t>S3 KS-25x4 "Mammoth" Liquid Fuel Engine</t>
  </si>
  <si>
    <t>Spider</t>
  </si>
  <si>
    <t>Name</t>
  </si>
  <si>
    <t>Cost</t>
  </si>
  <si>
    <t>Part</t>
  </si>
  <si>
    <t>Radial size</t>
  </si>
  <si>
    <t>Max. Temp.</t>
  </si>
  <si>
    <t>Tolerance</t>
  </si>
  <si>
    <t>Gimbal</t>
  </si>
  <si>
    <t>Twitch</t>
  </si>
  <si>
    <t>Ant</t>
  </si>
  <si>
    <t>Spark</t>
  </si>
  <si>
    <t>Reliant</t>
  </si>
  <si>
    <t>Vector</t>
  </si>
  <si>
    <t>Dart</t>
  </si>
  <si>
    <t>Poodle</t>
  </si>
  <si>
    <t>Mainsail</t>
  </si>
  <si>
    <t>Boar</t>
  </si>
  <si>
    <t>Rhino</t>
  </si>
  <si>
    <t>Mammoth</t>
  </si>
  <si>
    <t>T. atm</t>
  </si>
  <si>
    <t>T. vac</t>
  </si>
  <si>
    <t>T/W Atm</t>
  </si>
  <si>
    <t>T/W Vac</t>
  </si>
  <si>
    <t>ISP Atm</t>
  </si>
  <si>
    <t>ISP Vac</t>
  </si>
  <si>
    <t>T/W In</t>
  </si>
  <si>
    <t>T/W Out</t>
  </si>
  <si>
    <t>Burn Time</t>
  </si>
  <si>
    <t>Burn Rate</t>
  </si>
  <si>
    <t>Dry Mass</t>
  </si>
  <si>
    <t>RT-5 "Flea" Solid Fuel Booster</t>
  </si>
  <si>
    <t>RT-10 "Hammer" Solid Fuel Booster</t>
  </si>
  <si>
    <t>BACC "Thumper" Solid Fuel Booster</t>
  </si>
  <si>
    <t>2 200</t>
  </si>
  <si>
    <t>S1 SRB-KD25k "Kickback" Solid Fuel Booster</t>
  </si>
  <si>
    <t>Sepratron I</t>
  </si>
  <si>
    <t>Flea</t>
  </si>
  <si>
    <t>Hammer</t>
  </si>
  <si>
    <t>Kickback</t>
  </si>
  <si>
    <t>Sepratron</t>
  </si>
  <si>
    <t>Burntime</t>
  </si>
  <si>
    <t># Engines</t>
  </si>
  <si>
    <t>Fudge</t>
  </si>
  <si>
    <t>Atmo</t>
  </si>
  <si>
    <t>Payload</t>
  </si>
  <si>
    <t>Total</t>
  </si>
  <si>
    <t>Price</t>
  </si>
  <si>
    <t>Cost/Ton</t>
  </si>
  <si>
    <t>Delta-V</t>
  </si>
  <si>
    <t>Legend</t>
  </si>
  <si>
    <t>Burn</t>
  </si>
  <si>
    <t>Idle</t>
  </si>
  <si>
    <t>Eject</t>
  </si>
  <si>
    <t>LFO</t>
  </si>
  <si>
    <t>Solid</t>
  </si>
  <si>
    <t>Liquid</t>
  </si>
  <si>
    <t>Engine Statistics</t>
  </si>
  <si>
    <t>Engine Inputs</t>
  </si>
  <si>
    <t>Staging Inputs</t>
  </si>
  <si>
    <t>Universal Staging Calculator</t>
  </si>
  <si>
    <t>Red:  Final Results</t>
  </si>
  <si>
    <t>Green:  Data Inputs</t>
  </si>
  <si>
    <t>Blue:  Calculated</t>
  </si>
  <si>
    <t>Type</t>
  </si>
  <si>
    <t>Weight</t>
  </si>
  <si>
    <t>Tiny, Radial mounted</t>
  </si>
  <si>
    <r>
      <t>LFB KR-1x2 "Twin-Boar" Liquid Fuel Engine</t>
    </r>
    <r>
      <rPr>
        <vertAlign val="superscript"/>
        <sz val="11"/>
        <color indexed="8"/>
        <rFont val="Calibri"/>
        <family val="2"/>
      </rPr>
      <t>[Note 3]</t>
    </r>
  </si>
  <si>
    <t>Large, Radial mounted</t>
  </si>
  <si>
    <t>S2-33 "Clydesdale" Solid Fuel Booster</t>
  </si>
  <si>
    <t>Clyedsdale</t>
  </si>
  <si>
    <t>T-1 Toroidal Aerospike "Dart" Liquid Fuel Engine</t>
  </si>
  <si>
    <t>Small, Radial mounted</t>
  </si>
  <si>
    <t>RE-M3 "Mainsail" Liquid Fuel Engine</t>
  </si>
  <si>
    <t>FM1 "Mite" Solid Fuel Booster</t>
  </si>
  <si>
    <t>Mite</t>
  </si>
  <si>
    <r>
      <t>CR-7 R.A.P.I.E.R. Engine</t>
    </r>
    <r>
      <rPr>
        <vertAlign val="superscript"/>
        <sz val="11"/>
        <color indexed="8"/>
        <rFont val="Calibri"/>
        <family val="2"/>
      </rPr>
      <t>[Note 4]</t>
    </r>
  </si>
  <si>
    <t>Rapier</t>
  </si>
  <si>
    <t>F3S0 "Shrimp" Solid Fuel Booster</t>
  </si>
  <si>
    <t>Shrimp</t>
  </si>
  <si>
    <t>Terrier</t>
  </si>
  <si>
    <t>S2-17 "Thoroughbred" Solid Fuel Booster</t>
  </si>
  <si>
    <t>Thoroughbred</t>
  </si>
  <si>
    <t>Thumper</t>
  </si>
  <si>
    <t>Medium</t>
  </si>
  <si>
    <t>Bobcat</t>
  </si>
  <si>
    <t>bobcat</t>
  </si>
  <si>
    <t>Mastadon</t>
  </si>
  <si>
    <t>DLC</t>
  </si>
  <si>
    <t>Making History</t>
  </si>
  <si>
    <t>Cheetah</t>
  </si>
  <si>
    <t>Skiff</t>
  </si>
  <si>
    <t>Wolfhound</t>
  </si>
  <si>
    <t>Kodiak</t>
  </si>
  <si>
    <t>Cub</t>
  </si>
  <si>
    <t>Pollux</t>
  </si>
  <si>
    <t>Internal Fuel</t>
  </si>
  <si>
    <t>Burn In Atmo</t>
  </si>
  <si>
    <t>% Thrust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</si>
</sst>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_);_(@_)"/>
    <numFmt numFmtId="177" formatCode="_(* #,##0.0000_);_(* \(#,##0.0000\);_(* &quot;-&quot;????_);_(@_)"/>
    <numFmt numFmtId="178" formatCode="_-* #,##0.0_-;\-* #,##0.0_-;_-* &quot;-&quot;?_-;_-@_-"/>
    <numFmt numFmtId="179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1" fontId="0" fillId="33" borderId="10" xfId="0" applyNumberFormat="1" applyFill="1" applyBorder="1" applyAlignment="1">
      <alignment/>
    </xf>
    <xf numFmtId="0" fontId="0" fillId="0" borderId="0" xfId="0" applyAlignment="1">
      <alignment vertical="center" wrapText="1"/>
    </xf>
    <xf numFmtId="176" fontId="0" fillId="34" borderId="10" xfId="0" applyNumberFormat="1" applyFill="1" applyBorder="1" applyAlignment="1">
      <alignment/>
    </xf>
    <xf numFmtId="41" fontId="0" fillId="33" borderId="0" xfId="0" applyNumberFormat="1" applyFill="1" applyBorder="1" applyAlignment="1">
      <alignment/>
    </xf>
    <xf numFmtId="43" fontId="0" fillId="34" borderId="10" xfId="0" applyNumberFormat="1" applyFill="1" applyBorder="1" applyAlignment="1">
      <alignment/>
    </xf>
    <xf numFmtId="41" fontId="0" fillId="33" borderId="11" xfId="0" applyNumberFormat="1" applyFill="1" applyBorder="1" applyAlignment="1">
      <alignment/>
    </xf>
    <xf numFmtId="176" fontId="0" fillId="8" borderId="0" xfId="0" applyNumberFormat="1" applyFill="1" applyBorder="1" applyAlignment="1">
      <alignment/>
    </xf>
    <xf numFmtId="176" fontId="0" fillId="8" borderId="12" xfId="0" applyNumberFormat="1" applyFill="1" applyBorder="1" applyAlignment="1">
      <alignment/>
    </xf>
    <xf numFmtId="41" fontId="0" fillId="33" borderId="13" xfId="0" applyNumberFormat="1" applyFill="1" applyBorder="1" applyAlignment="1">
      <alignment/>
    </xf>
    <xf numFmtId="41" fontId="0" fillId="33" borderId="14" xfId="0" applyNumberFormat="1" applyFill="1" applyBorder="1" applyAlignment="1">
      <alignment/>
    </xf>
    <xf numFmtId="41" fontId="0" fillId="33" borderId="15" xfId="0" applyNumberFormat="1" applyFill="1" applyBorder="1" applyAlignment="1">
      <alignment/>
    </xf>
    <xf numFmtId="176" fontId="0" fillId="34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41" fontId="0" fillId="33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1" fontId="0" fillId="33" borderId="12" xfId="0" applyNumberFormat="1" applyFill="1" applyBorder="1" applyAlignment="1">
      <alignment/>
    </xf>
    <xf numFmtId="41" fontId="0" fillId="33" borderId="17" xfId="0" applyNumberFormat="1" applyFill="1" applyBorder="1" applyAlignment="1">
      <alignment/>
    </xf>
    <xf numFmtId="41" fontId="0" fillId="33" borderId="18" xfId="0" applyNumberFormat="1" applyFill="1" applyBorder="1" applyAlignment="1">
      <alignment/>
    </xf>
    <xf numFmtId="176" fontId="0" fillId="34" borderId="19" xfId="0" applyNumberFormat="1" applyFill="1" applyBorder="1" applyAlignment="1">
      <alignment/>
    </xf>
    <xf numFmtId="176" fontId="0" fillId="34" borderId="17" xfId="0" applyNumberForma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176" fontId="0" fillId="8" borderId="24" xfId="0" applyNumberFormat="1" applyFill="1" applyBorder="1" applyAlignment="1">
      <alignment/>
    </xf>
    <xf numFmtId="41" fontId="0" fillId="33" borderId="24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41" fontId="0" fillId="9" borderId="28" xfId="0" applyNumberFormat="1" applyFill="1" applyBorder="1" applyAlignment="1">
      <alignment/>
    </xf>
    <xf numFmtId="2" fontId="0" fillId="9" borderId="28" xfId="0" applyNumberFormat="1" applyFill="1" applyBorder="1" applyAlignment="1">
      <alignment/>
    </xf>
    <xf numFmtId="176" fontId="0" fillId="9" borderId="28" xfId="0" applyNumberFormat="1" applyFill="1" applyBorder="1" applyAlignment="1">
      <alignment/>
    </xf>
    <xf numFmtId="0" fontId="0" fillId="9" borderId="28" xfId="0" applyFill="1" applyBorder="1" applyAlignment="1">
      <alignment/>
    </xf>
    <xf numFmtId="43" fontId="0" fillId="9" borderId="28" xfId="0" applyNumberFormat="1" applyFill="1" applyBorder="1" applyAlignment="1">
      <alignment/>
    </xf>
    <xf numFmtId="0" fontId="0" fillId="9" borderId="29" xfId="0" applyFill="1" applyBorder="1" applyAlignment="1">
      <alignment/>
    </xf>
    <xf numFmtId="176" fontId="0" fillId="8" borderId="30" xfId="0" applyNumberFormat="1" applyFill="1" applyBorder="1" applyAlignment="1">
      <alignment/>
    </xf>
    <xf numFmtId="176" fontId="0" fillId="8" borderId="31" xfId="0" applyNumberFormat="1" applyFill="1" applyBorder="1" applyAlignment="1">
      <alignment/>
    </xf>
    <xf numFmtId="176" fontId="0" fillId="8" borderId="32" xfId="0" applyNumberFormat="1" applyFill="1" applyBorder="1" applyAlignment="1">
      <alignment/>
    </xf>
    <xf numFmtId="0" fontId="37" fillId="35" borderId="24" xfId="0" applyFont="1" applyFill="1" applyBorder="1" applyAlignment="1">
      <alignment horizontal="right"/>
    </xf>
    <xf numFmtId="0" fontId="37" fillId="35" borderId="25" xfId="0" applyFont="1" applyFill="1" applyBorder="1" applyAlignment="1">
      <alignment horizontal="right"/>
    </xf>
    <xf numFmtId="2" fontId="0" fillId="33" borderId="21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2" fontId="0" fillId="33" borderId="33" xfId="0" applyNumberForma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0" fontId="37" fillId="35" borderId="24" xfId="0" applyFont="1" applyFill="1" applyBorder="1" applyAlignment="1">
      <alignment horizontal="center"/>
    </xf>
    <xf numFmtId="0" fontId="0" fillId="15" borderId="34" xfId="0" applyFill="1" applyBorder="1" applyAlignment="1">
      <alignment/>
    </xf>
    <xf numFmtId="0" fontId="0" fillId="15" borderId="28" xfId="0" applyFill="1" applyBorder="1" applyAlignment="1">
      <alignment/>
    </xf>
    <xf numFmtId="0" fontId="37" fillId="15" borderId="29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2" fontId="0" fillId="35" borderId="35" xfId="0" applyNumberFormat="1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14" borderId="24" xfId="0" applyFill="1" applyBorder="1" applyAlignment="1">
      <alignment horizontal="right"/>
    </xf>
    <xf numFmtId="0" fontId="0" fillId="14" borderId="20" xfId="0" applyFill="1" applyBorder="1" applyAlignment="1">
      <alignment horizontal="right"/>
    </xf>
    <xf numFmtId="0" fontId="0" fillId="14" borderId="36" xfId="0" applyFill="1" applyBorder="1" applyAlignment="1">
      <alignment horizontal="right"/>
    </xf>
    <xf numFmtId="0" fontId="0" fillId="14" borderId="2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41" fontId="0" fillId="33" borderId="32" xfId="0" applyNumberFormat="1" applyFill="1" applyBorder="1" applyAlignment="1">
      <alignment horizontal="center"/>
    </xf>
    <xf numFmtId="41" fontId="0" fillId="33" borderId="12" xfId="0" applyNumberFormat="1" applyFill="1" applyBorder="1" applyAlignment="1">
      <alignment horizontal="center"/>
    </xf>
    <xf numFmtId="41" fontId="0" fillId="33" borderId="27" xfId="0" applyNumberFormat="1" applyFill="1" applyBorder="1" applyAlignment="1">
      <alignment horizontal="center"/>
    </xf>
    <xf numFmtId="0" fontId="0" fillId="14" borderId="37" xfId="0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43" fontId="0" fillId="9" borderId="12" xfId="0" applyNumberFormat="1" applyFill="1" applyBorder="1" applyAlignment="1">
      <alignment/>
    </xf>
    <xf numFmtId="176" fontId="0" fillId="9" borderId="12" xfId="0" applyNumberFormat="1" applyFill="1" applyBorder="1" applyAlignment="1">
      <alignment horizontal="center"/>
    </xf>
    <xf numFmtId="42" fontId="0" fillId="9" borderId="12" xfId="0" applyNumberFormat="1" applyFill="1" applyBorder="1" applyAlignment="1">
      <alignment/>
    </xf>
    <xf numFmtId="42" fontId="0" fillId="9" borderId="27" xfId="0" applyNumberFormat="1" applyFill="1" applyBorder="1" applyAlignment="1">
      <alignment/>
    </xf>
    <xf numFmtId="0" fontId="37" fillId="15" borderId="20" xfId="0" applyFont="1" applyFill="1" applyBorder="1" applyAlignment="1">
      <alignment horizontal="right"/>
    </xf>
    <xf numFmtId="0" fontId="37" fillId="15" borderId="36" xfId="0" applyFont="1" applyFill="1" applyBorder="1" applyAlignment="1">
      <alignment horizontal="right"/>
    </xf>
    <xf numFmtId="0" fontId="0" fillId="33" borderId="29" xfId="0" applyFill="1" applyBorder="1" applyAlignment="1">
      <alignment horizontal="center"/>
    </xf>
    <xf numFmtId="0" fontId="37" fillId="14" borderId="34" xfId="0" applyFont="1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43" fontId="0" fillId="33" borderId="32" xfId="0" applyNumberFormat="1" applyFill="1" applyBorder="1" applyAlignment="1">
      <alignment horizontal="center"/>
    </xf>
    <xf numFmtId="0" fontId="0" fillId="33" borderId="25" xfId="0" applyFill="1" applyBorder="1" applyAlignment="1">
      <alignment horizontal="right"/>
    </xf>
    <xf numFmtId="43" fontId="0" fillId="33" borderId="27" xfId="0" applyNumberFormat="1" applyFill="1" applyBorder="1" applyAlignment="1">
      <alignment horizontal="center"/>
    </xf>
    <xf numFmtId="43" fontId="0" fillId="34" borderId="14" xfId="0" applyNumberFormat="1" applyFill="1" applyBorder="1" applyAlignment="1">
      <alignment/>
    </xf>
    <xf numFmtId="43" fontId="0" fillId="34" borderId="17" xfId="0" applyNumberFormat="1" applyFill="1" applyBorder="1" applyAlignment="1">
      <alignment/>
    </xf>
    <xf numFmtId="43" fontId="0" fillId="34" borderId="18" xfId="0" applyNumberFormat="1" applyFill="1" applyBorder="1" applyAlignment="1">
      <alignment/>
    </xf>
    <xf numFmtId="41" fontId="0" fillId="8" borderId="24" xfId="0" applyNumberFormat="1" applyFill="1" applyBorder="1" applyAlignment="1">
      <alignment/>
    </xf>
    <xf numFmtId="41" fontId="0" fillId="8" borderId="0" xfId="0" applyNumberFormat="1" applyFill="1" applyBorder="1" applyAlignment="1">
      <alignment/>
    </xf>
    <xf numFmtId="41" fontId="0" fillId="8" borderId="12" xfId="0" applyNumberFormat="1" applyFill="1" applyBorder="1" applyAlignment="1">
      <alignment/>
    </xf>
    <xf numFmtId="0" fontId="0" fillId="35" borderId="28" xfId="0" applyFont="1" applyFill="1" applyBorder="1" applyAlignment="1">
      <alignment horizontal="center"/>
    </xf>
    <xf numFmtId="41" fontId="0" fillId="8" borderId="0" xfId="0" applyNumberFormat="1" applyFill="1" applyBorder="1" applyAlignment="1">
      <alignment horizontal="center"/>
    </xf>
    <xf numFmtId="0" fontId="37" fillId="15" borderId="0" xfId="0" applyFont="1" applyFill="1" applyBorder="1" applyAlignment="1">
      <alignment horizontal="right"/>
    </xf>
    <xf numFmtId="42" fontId="0" fillId="9" borderId="0" xfId="0" applyNumberFormat="1" applyFill="1" applyBorder="1" applyAlignment="1">
      <alignment/>
    </xf>
    <xf numFmtId="41" fontId="0" fillId="34" borderId="14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Fill="1" applyBorder="1" applyAlignment="1">
      <alignment/>
    </xf>
    <xf numFmtId="0" fontId="0" fillId="14" borderId="30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179" fontId="0" fillId="8" borderId="25" xfId="0" applyNumberFormat="1" applyFill="1" applyBorder="1" applyAlignment="1">
      <alignment/>
    </xf>
    <xf numFmtId="179" fontId="0" fillId="8" borderId="0" xfId="0" applyNumberFormat="1" applyFill="1" applyBorder="1" applyAlignment="1">
      <alignment/>
    </xf>
    <xf numFmtId="179" fontId="0" fillId="8" borderId="12" xfId="0" applyNumberFormat="1" applyFill="1" applyBorder="1" applyAlignment="1">
      <alignment/>
    </xf>
    <xf numFmtId="0" fontId="0" fillId="35" borderId="28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14" borderId="34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15" borderId="25" xfId="0" applyFont="1" applyFill="1" applyBorder="1" applyAlignment="1">
      <alignment horizontal="center"/>
    </xf>
    <xf numFmtId="0" fontId="37" fillId="15" borderId="27" xfId="0" applyFont="1" applyFill="1" applyBorder="1" applyAlignment="1">
      <alignment horizontal="center"/>
    </xf>
    <xf numFmtId="0" fontId="37" fillId="35" borderId="34" xfId="0" applyFont="1" applyFill="1" applyBorder="1" applyAlignment="1">
      <alignment horizontal="center"/>
    </xf>
    <xf numFmtId="0" fontId="37" fillId="35" borderId="29" xfId="0" applyFont="1" applyFill="1" applyBorder="1" applyAlignment="1">
      <alignment horizontal="center"/>
    </xf>
    <xf numFmtId="0" fontId="37" fillId="35" borderId="31" xfId="0" applyFont="1" applyFill="1" applyBorder="1" applyAlignment="1">
      <alignment horizontal="center"/>
    </xf>
    <xf numFmtId="0" fontId="37" fillId="35" borderId="32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176" fontId="0" fillId="35" borderId="28" xfId="0" applyNumberFormat="1" applyFont="1" applyFill="1" applyBorder="1" applyAlignment="1">
      <alignment horizontal="center"/>
    </xf>
    <xf numFmtId="176" fontId="0" fillId="35" borderId="2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iki.kerbalspaceprogram.com/wiki/File:RT-5_White.png" TargetMode="External" /><Relationship Id="rId2" Type="http://schemas.openxmlformats.org/officeDocument/2006/relationships/hyperlink" Target="https://wiki.kerbalspaceprogram.com/wiki/File:RT-10_White.png" TargetMode="External" /><Relationship Id="rId3" Type="http://schemas.openxmlformats.org/officeDocument/2006/relationships/hyperlink" Target="https://wiki.kerbalspaceprogram.com/wiki/File:BACC_SFB.png" TargetMode="External" /><Relationship Id="rId4" Type="http://schemas.openxmlformats.org/officeDocument/2006/relationships/hyperlink" Target="https://wiki.kerbalspaceprogram.com/wiki/File:SRB.png" TargetMode="External" /><Relationship Id="rId5" Type="http://schemas.openxmlformats.org/officeDocument/2006/relationships/hyperlink" Target="https://wiki.kerbalspaceprogram.com/wiki/File:Sepratron.png" TargetMode="External" /><Relationship Id="rId6" Type="http://schemas.openxmlformats.org/officeDocument/2006/relationships/hyperlink" Target="https://wiki.kerbalspaceprogram.com/wiki/File:Mite.png" TargetMode="External" /><Relationship Id="rId7" Type="http://schemas.openxmlformats.org/officeDocument/2006/relationships/hyperlink" Target="https://wiki.kerbalspaceprogram.com/wiki/File:Shrimp.png" TargetMode="External" /><Relationship Id="rId8" Type="http://schemas.openxmlformats.org/officeDocument/2006/relationships/hyperlink" Target="https://wiki.kerbalspaceprogram.com/wiki/File:Thorougbred.png" TargetMode="External" /><Relationship Id="rId9" Type="http://schemas.openxmlformats.org/officeDocument/2006/relationships/hyperlink" Target="https://wiki.kerbalspaceprogram.com/wiki/File:Clydesdale.png" TargetMode="External" /><Relationship Id="rId10" Type="http://schemas.openxmlformats.org/officeDocument/2006/relationships/hyperlink" Target="https://wiki.kerbalspaceprogram.com/wiki/File:LV-1R_Shroud.png" TargetMode="External" /><Relationship Id="rId11" Type="http://schemas.openxmlformats.org/officeDocument/2006/relationships/hyperlink" Target="https://wiki.kerbalspaceprogram.com/wiki/File:24-77_Orange.png" TargetMode="External" /><Relationship Id="rId12" Type="http://schemas.openxmlformats.org/officeDocument/2006/relationships/hyperlink" Target="https://wiki.kerbalspaceprogram.com/wiki/File:Mk-55_Radial_mount_engine.png" TargetMode="External" /><Relationship Id="rId13" Type="http://schemas.openxmlformats.org/officeDocument/2006/relationships/hyperlink" Target="https://wiki.kerbalspaceprogram.com/wiki/File:O-10.png" TargetMode="External" /><Relationship Id="rId14" Type="http://schemas.openxmlformats.org/officeDocument/2006/relationships/hyperlink" Target="https://wiki.kerbalspaceprogram.com/wiki/File:LV-1_Shroud.png" TargetMode="External" /><Relationship Id="rId15" Type="http://schemas.openxmlformats.org/officeDocument/2006/relationships/hyperlink" Target="https://wiki.kerbalspaceprogram.com/wiki/File:48-7S_Shroud.png" TargetMode="External" /><Relationship Id="rId16" Type="http://schemas.openxmlformats.org/officeDocument/2006/relationships/hyperlink" Target="https://wiki.kerbalspaceprogram.com/wiki/File:LV-909_Shroud.png" TargetMode="External" /><Relationship Id="rId17" Type="http://schemas.openxmlformats.org/officeDocument/2006/relationships/hyperlink" Target="https://wiki.kerbalspaceprogram.com/wiki/File:LV-T30_Liquid_Fuel_Engine_recent.png" TargetMode="External" /><Relationship Id="rId18" Type="http://schemas.openxmlformats.org/officeDocument/2006/relationships/hyperlink" Target="https://wiki.kerbalspaceprogram.com/wiki/File:LV-T45_LFE.png" TargetMode="External" /><Relationship Id="rId19" Type="http://schemas.openxmlformats.org/officeDocument/2006/relationships/hyperlink" Target="https://wiki.kerbalspaceprogram.com/wiki/File:ToroidalAerospikeLiquidFuelEngine.png" TargetMode="External" /><Relationship Id="rId20" Type="http://schemas.openxmlformats.org/officeDocument/2006/relationships/hyperlink" Target="https://wiki.kerbalspaceprogram.com/wiki/File:LV-N_Atomic.png" TargetMode="External" /><Relationship Id="rId21" Type="http://schemas.openxmlformats.org/officeDocument/2006/relationships/hyperlink" Target="https://wiki.kerbalspaceprogram.com/wiki/File:RE-L10.png" TargetMode="External" /><Relationship Id="rId22" Type="http://schemas.openxmlformats.org/officeDocument/2006/relationships/hyperlink" Target="https://wiki.kerbalspaceprogram.com/wiki/File:Skipper.png" TargetMode="External" /><Relationship Id="rId23" Type="http://schemas.openxmlformats.org/officeDocument/2006/relationships/hyperlink" Target="https://wiki.kerbalspaceprogram.com/wiki/File:Rockomax_Mainsail_transparent.png" TargetMode="External" /><Relationship Id="rId24" Type="http://schemas.openxmlformats.org/officeDocument/2006/relationships/hyperlink" Target="https://wiki.kerbalspaceprogram.com/wiki/File:LFB_KR-1x2.png" TargetMode="External" /><Relationship Id="rId25" Type="http://schemas.openxmlformats.org/officeDocument/2006/relationships/hyperlink" Target="https://wiki.kerbalspaceprogram.com/wiki/File:Big1.png" TargetMode="External" /><Relationship Id="rId26" Type="http://schemas.openxmlformats.org/officeDocument/2006/relationships/hyperlink" Target="https://wiki.kerbalspaceprogram.com/wiki/File:Quad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114300" cy="152400"/>
    <xdr:sp>
      <xdr:nvSpPr>
        <xdr:cNvPr id="1" name="AutoShape 1" descr="Units of fuel"/>
        <xdr:cNvSpPr>
          <a:spLocks noChangeAspect="1"/>
        </xdr:cNvSpPr>
      </xdr:nvSpPr>
      <xdr:spPr>
        <a:xfrm>
          <a:off x="7267575" y="15240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52400"/>
    <xdr:sp>
      <xdr:nvSpPr>
        <xdr:cNvPr id="2" name="AutoShape 2" descr="Funds"/>
        <xdr:cNvSpPr>
          <a:spLocks noChangeAspect="1"/>
        </xdr:cNvSpPr>
      </xdr:nvSpPr>
      <xdr:spPr>
        <a:xfrm>
          <a:off x="3609975" y="15240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571500" cy="571500"/>
    <xdr:sp>
      <xdr:nvSpPr>
        <xdr:cNvPr id="3" name="AutoShape 3" descr="RT-5 White.png">
          <a:hlinkClick r:id="rId1"/>
        </xdr:cNvPr>
        <xdr:cNvSpPr>
          <a:spLocks noChangeAspect="1"/>
        </xdr:cNvSpPr>
      </xdr:nvSpPr>
      <xdr:spPr>
        <a:xfrm>
          <a:off x="0" y="15240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571500" cy="571500"/>
    <xdr:sp>
      <xdr:nvSpPr>
        <xdr:cNvPr id="4" name="AutoShape 4" descr="RT-10 White.png">
          <a:hlinkClick r:id="rId2"/>
        </xdr:cNvPr>
        <xdr:cNvSpPr>
          <a:spLocks noChangeAspect="1"/>
        </xdr:cNvSpPr>
      </xdr:nvSpPr>
      <xdr:spPr>
        <a:xfrm>
          <a:off x="0" y="17145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85750" cy="571500"/>
    <xdr:sp>
      <xdr:nvSpPr>
        <xdr:cNvPr id="5" name="AutoShape 5" descr="BACC SFB.png">
          <a:hlinkClick r:id="rId3"/>
        </xdr:cNvPr>
        <xdr:cNvSpPr>
          <a:spLocks noChangeAspect="1"/>
        </xdr:cNvSpPr>
      </xdr:nvSpPr>
      <xdr:spPr>
        <a:xfrm>
          <a:off x="0" y="6096000"/>
          <a:ext cx="285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47625" cy="571500"/>
    <xdr:sp>
      <xdr:nvSpPr>
        <xdr:cNvPr id="6" name="AutoShape 6" descr="SRB.png">
          <a:hlinkClick r:id="rId4"/>
        </xdr:cNvPr>
        <xdr:cNvSpPr>
          <a:spLocks noChangeAspect="1"/>
        </xdr:cNvSpPr>
      </xdr:nvSpPr>
      <xdr:spPr>
        <a:xfrm>
          <a:off x="0" y="1905000"/>
          <a:ext cx="47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571500" cy="561975"/>
    <xdr:sp>
      <xdr:nvSpPr>
        <xdr:cNvPr id="7" name="AutoShape 7" descr="Sepratron.png">
          <a:hlinkClick r:id="rId5"/>
        </xdr:cNvPr>
        <xdr:cNvSpPr>
          <a:spLocks noChangeAspect="1"/>
        </xdr:cNvSpPr>
      </xdr:nvSpPr>
      <xdr:spPr>
        <a:xfrm>
          <a:off x="0" y="4191000"/>
          <a:ext cx="571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219075" cy="571500"/>
    <xdr:sp>
      <xdr:nvSpPr>
        <xdr:cNvPr id="8" name="AutoShape 8" descr="Mite.png">
          <a:hlinkClick r:id="rId6"/>
        </xdr:cNvPr>
        <xdr:cNvSpPr>
          <a:spLocks noChangeAspect="1"/>
        </xdr:cNvSpPr>
      </xdr:nvSpPr>
      <xdr:spPr>
        <a:xfrm>
          <a:off x="0" y="2857500"/>
          <a:ext cx="219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42875" cy="571500"/>
    <xdr:sp>
      <xdr:nvSpPr>
        <xdr:cNvPr id="9" name="AutoShape 9" descr="Shrimp.png">
          <a:hlinkClick r:id="rId7"/>
        </xdr:cNvPr>
        <xdr:cNvSpPr>
          <a:spLocks noChangeAspect="1"/>
        </xdr:cNvSpPr>
      </xdr:nvSpPr>
      <xdr:spPr>
        <a:xfrm>
          <a:off x="0" y="4381500"/>
          <a:ext cx="142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200025" cy="571500"/>
    <xdr:sp>
      <xdr:nvSpPr>
        <xdr:cNvPr id="10" name="AutoShape 10" descr="Thorougbred.png">
          <a:hlinkClick r:id="rId8"/>
        </xdr:cNvPr>
        <xdr:cNvSpPr>
          <a:spLocks noChangeAspect="1"/>
        </xdr:cNvSpPr>
      </xdr:nvSpPr>
      <xdr:spPr>
        <a:xfrm>
          <a:off x="0" y="5715000"/>
          <a:ext cx="2000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85725" cy="571500"/>
    <xdr:sp>
      <xdr:nvSpPr>
        <xdr:cNvPr id="11" name="AutoShape 11" descr="Clydesdale.png">
          <a:hlinkClick r:id="rId9"/>
        </xdr:cNvPr>
        <xdr:cNvSpPr>
          <a:spLocks noChangeAspect="1"/>
        </xdr:cNvSpPr>
      </xdr:nvSpPr>
      <xdr:spPr>
        <a:xfrm>
          <a:off x="0" y="952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0</xdr:rowOff>
    </xdr:from>
    <xdr:ext cx="114300" cy="152400"/>
    <xdr:sp>
      <xdr:nvSpPr>
        <xdr:cNvPr id="12" name="AutoShape 1" descr="Units of fuel"/>
        <xdr:cNvSpPr>
          <a:spLocks noChangeAspect="1"/>
        </xdr:cNvSpPr>
      </xdr:nvSpPr>
      <xdr:spPr>
        <a:xfrm>
          <a:off x="10315575" y="51435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14300" cy="152400"/>
    <xdr:sp>
      <xdr:nvSpPr>
        <xdr:cNvPr id="13" name="AutoShape 2" descr="Funds"/>
        <xdr:cNvSpPr>
          <a:spLocks noChangeAspect="1"/>
        </xdr:cNvSpPr>
      </xdr:nvSpPr>
      <xdr:spPr>
        <a:xfrm>
          <a:off x="3609975" y="51435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571500" cy="571500"/>
    <xdr:sp>
      <xdr:nvSpPr>
        <xdr:cNvPr id="14" name="AutoShape 3" descr="LV-1R Shroud.png">
          <a:hlinkClick r:id="rId10"/>
        </xdr:cNvPr>
        <xdr:cNvSpPr>
          <a:spLocks noChangeAspect="1"/>
        </xdr:cNvSpPr>
      </xdr:nvSpPr>
      <xdr:spPr>
        <a:xfrm>
          <a:off x="0" y="51435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571500" cy="571500"/>
    <xdr:sp>
      <xdr:nvSpPr>
        <xdr:cNvPr id="15" name="AutoShape 4" descr="24-77 Orange.png">
          <a:hlinkClick r:id="rId11"/>
        </xdr:cNvPr>
        <xdr:cNvSpPr>
          <a:spLocks noChangeAspect="1"/>
        </xdr:cNvSpPr>
      </xdr:nvSpPr>
      <xdr:spPr>
        <a:xfrm>
          <a:off x="0" y="62865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33375" cy="571500"/>
    <xdr:sp>
      <xdr:nvSpPr>
        <xdr:cNvPr id="16" name="AutoShape 5" descr="Mk-55 Radial mount engine.png">
          <a:hlinkClick r:id="rId12"/>
        </xdr:cNvPr>
        <xdr:cNvSpPr>
          <a:spLocks noChangeAspect="1"/>
        </xdr:cNvSpPr>
      </xdr:nvSpPr>
      <xdr:spPr>
        <a:xfrm>
          <a:off x="0" y="5905500"/>
          <a:ext cx="333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571500" cy="571500"/>
    <xdr:sp>
      <xdr:nvSpPr>
        <xdr:cNvPr id="17" name="AutoShape 6" descr="O-10.png">
          <a:hlinkClick r:id="rId13"/>
        </xdr:cNvPr>
        <xdr:cNvSpPr>
          <a:spLocks noChangeAspect="1"/>
        </xdr:cNvSpPr>
      </xdr:nvSpPr>
      <xdr:spPr>
        <a:xfrm>
          <a:off x="0" y="1905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571500" cy="571500"/>
    <xdr:sp>
      <xdr:nvSpPr>
        <xdr:cNvPr id="18" name="AutoShape 7" descr="LV-1 Shroud.png">
          <a:hlinkClick r:id="rId14"/>
        </xdr:cNvPr>
        <xdr:cNvSpPr>
          <a:spLocks noChangeAspect="1"/>
        </xdr:cNvSpPr>
      </xdr:nvSpPr>
      <xdr:spPr>
        <a:xfrm>
          <a:off x="0" y="1905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571500" cy="571500"/>
    <xdr:sp>
      <xdr:nvSpPr>
        <xdr:cNvPr id="19" name="AutoShape 8" descr="48-7S Shroud.png">
          <a:hlinkClick r:id="rId15"/>
        </xdr:cNvPr>
        <xdr:cNvSpPr>
          <a:spLocks noChangeAspect="1"/>
        </xdr:cNvSpPr>
      </xdr:nvSpPr>
      <xdr:spPr>
        <a:xfrm>
          <a:off x="0" y="49530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571500" cy="571500"/>
    <xdr:sp>
      <xdr:nvSpPr>
        <xdr:cNvPr id="20" name="AutoShape 9" descr="LV-909 Shroud.png">
          <a:hlinkClick r:id="rId16"/>
        </xdr:cNvPr>
        <xdr:cNvSpPr>
          <a:spLocks noChangeAspect="1"/>
        </xdr:cNvSpPr>
      </xdr:nvSpPr>
      <xdr:spPr>
        <a:xfrm>
          <a:off x="0" y="55245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571500" cy="571500"/>
    <xdr:sp>
      <xdr:nvSpPr>
        <xdr:cNvPr id="21" name="AutoShape 10" descr="LV-T30 Liquid Fuel Engine recent.png">
          <a:hlinkClick r:id="rId17"/>
        </xdr:cNvPr>
        <xdr:cNvSpPr>
          <a:spLocks noChangeAspect="1"/>
        </xdr:cNvSpPr>
      </xdr:nvSpPr>
      <xdr:spPr>
        <a:xfrm>
          <a:off x="0" y="38100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571500" cy="571500"/>
    <xdr:sp>
      <xdr:nvSpPr>
        <xdr:cNvPr id="22" name="AutoShape 11" descr="LV-T45 LFE.png">
          <a:hlinkClick r:id="rId18"/>
        </xdr:cNvPr>
        <xdr:cNvSpPr>
          <a:spLocks noChangeAspect="1"/>
        </xdr:cNvSpPr>
      </xdr:nvSpPr>
      <xdr:spPr>
        <a:xfrm>
          <a:off x="0" y="53340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571500" cy="561975"/>
    <xdr:sp>
      <xdr:nvSpPr>
        <xdr:cNvPr id="23" name="AutoShape 13" descr="ToroidalAerospikeLiquidFuelEngine.png">
          <a:hlinkClick r:id="rId19"/>
        </xdr:cNvPr>
        <xdr:cNvSpPr>
          <a:spLocks noChangeAspect="1"/>
        </xdr:cNvSpPr>
      </xdr:nvSpPr>
      <xdr:spPr>
        <a:xfrm>
          <a:off x="0" y="1333500"/>
          <a:ext cx="571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238125" cy="571500"/>
    <xdr:sp>
      <xdr:nvSpPr>
        <xdr:cNvPr id="24" name="AutoShape 14" descr="LV-N Atomic.png">
          <a:hlinkClick r:id="rId20"/>
        </xdr:cNvPr>
        <xdr:cNvSpPr>
          <a:spLocks noChangeAspect="1"/>
        </xdr:cNvSpPr>
      </xdr:nvSpPr>
      <xdr:spPr>
        <a:xfrm>
          <a:off x="0" y="3429000"/>
          <a:ext cx="2381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571500" cy="571500"/>
    <xdr:sp>
      <xdr:nvSpPr>
        <xdr:cNvPr id="25" name="AutoShape 15" descr="RE-L10.png">
          <a:hlinkClick r:id="rId21"/>
        </xdr:cNvPr>
        <xdr:cNvSpPr>
          <a:spLocks noChangeAspect="1"/>
        </xdr:cNvSpPr>
      </xdr:nvSpPr>
      <xdr:spPr>
        <a:xfrm>
          <a:off x="0" y="34290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523875" cy="571500"/>
    <xdr:sp>
      <xdr:nvSpPr>
        <xdr:cNvPr id="26" name="AutoShape 16" descr="Skipper.png">
          <a:hlinkClick r:id="rId22"/>
        </xdr:cNvPr>
        <xdr:cNvSpPr>
          <a:spLocks noChangeAspect="1"/>
        </xdr:cNvSpPr>
      </xdr:nvSpPr>
      <xdr:spPr>
        <a:xfrm>
          <a:off x="0" y="4762500"/>
          <a:ext cx="523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447675" cy="571500"/>
    <xdr:sp>
      <xdr:nvSpPr>
        <xdr:cNvPr id="27" name="AutoShape 17" descr="Rockomax Mainsail transparent.png">
          <a:hlinkClick r:id="rId23"/>
        </xdr:cNvPr>
        <xdr:cNvSpPr>
          <a:spLocks noChangeAspect="1"/>
        </xdr:cNvSpPr>
      </xdr:nvSpPr>
      <xdr:spPr>
        <a:xfrm>
          <a:off x="0" y="2286000"/>
          <a:ext cx="447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0975" cy="571500"/>
    <xdr:sp>
      <xdr:nvSpPr>
        <xdr:cNvPr id="28" name="AutoShape 18" descr="LFB KR-1x2.png">
          <a:hlinkClick r:id="rId24"/>
        </xdr:cNvPr>
        <xdr:cNvSpPr>
          <a:spLocks noChangeAspect="1"/>
        </xdr:cNvSpPr>
      </xdr:nvSpPr>
      <xdr:spPr>
        <a:xfrm>
          <a:off x="0" y="381000"/>
          <a:ext cx="180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504825" cy="571500"/>
    <xdr:sp>
      <xdr:nvSpPr>
        <xdr:cNvPr id="29" name="AutoShape 19" descr="Big1.png">
          <a:hlinkClick r:id="rId25"/>
        </xdr:cNvPr>
        <xdr:cNvSpPr>
          <a:spLocks noChangeAspect="1"/>
        </xdr:cNvSpPr>
      </xdr:nvSpPr>
      <xdr:spPr>
        <a:xfrm>
          <a:off x="0" y="4000500"/>
          <a:ext cx="504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504825" cy="571500"/>
    <xdr:sp>
      <xdr:nvSpPr>
        <xdr:cNvPr id="30" name="AutoShape 20" descr="Quad.png">
          <a:hlinkClick r:id="rId26"/>
        </xdr:cNvPr>
        <xdr:cNvSpPr>
          <a:spLocks noChangeAspect="1"/>
        </xdr:cNvSpPr>
      </xdr:nvSpPr>
      <xdr:spPr>
        <a:xfrm>
          <a:off x="0" y="2476500"/>
          <a:ext cx="504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0" sqref="A10:H10"/>
    </sheetView>
  </sheetViews>
  <sheetFormatPr defaultColWidth="9.140625" defaultRowHeight="15"/>
  <cols>
    <col min="1" max="1" width="13.8515625" style="1" bestFit="1" customWidth="1"/>
    <col min="2" max="2" width="8.7109375" style="0" customWidth="1"/>
    <col min="3" max="6" width="9.57421875" style="0" bestFit="1" customWidth="1"/>
    <col min="7" max="8" width="8.7109375" style="0" customWidth="1"/>
    <col min="9" max="9" width="8.8515625" style="0" customWidth="1"/>
    <col min="10" max="10" width="9.57421875" style="0" bestFit="1" customWidth="1"/>
    <col min="11" max="11" width="7.421875" style="15" bestFit="1" customWidth="1"/>
    <col min="13" max="14" width="10.00390625" style="0" bestFit="1" customWidth="1"/>
    <col min="15" max="15" width="9.57421875" style="0" bestFit="1" customWidth="1"/>
    <col min="16" max="16" width="10.00390625" style="0" bestFit="1" customWidth="1"/>
    <col min="17" max="17" width="7.00390625" style="0" bestFit="1" customWidth="1"/>
    <col min="18" max="18" width="8.57421875" style="0" bestFit="1" customWidth="1"/>
  </cols>
  <sheetData>
    <row r="1" spans="1:9" ht="15.75" thickBot="1">
      <c r="A1" s="115" t="s">
        <v>90</v>
      </c>
      <c r="B1" s="117"/>
      <c r="C1" s="117"/>
      <c r="D1" s="117"/>
      <c r="E1" s="117"/>
      <c r="F1" s="117"/>
      <c r="G1" s="117"/>
      <c r="H1" s="118"/>
      <c r="I1" s="18"/>
    </row>
    <row r="2" spans="1:16" ht="15.75" thickBot="1">
      <c r="A2" s="49"/>
      <c r="B2" s="105" t="s">
        <v>87</v>
      </c>
      <c r="C2" s="105"/>
      <c r="D2" s="105"/>
      <c r="E2" s="105"/>
      <c r="F2" s="105"/>
      <c r="G2" s="105"/>
      <c r="H2" s="119"/>
      <c r="I2" s="18"/>
      <c r="J2" s="106" t="s">
        <v>8</v>
      </c>
      <c r="K2" s="108"/>
      <c r="L2" s="107"/>
      <c r="O2" s="77" t="s">
        <v>75</v>
      </c>
      <c r="P2" s="76">
        <v>21</v>
      </c>
    </row>
    <row r="3" spans="1:16" ht="15.75" thickBot="1">
      <c r="A3" s="43" t="s">
        <v>1</v>
      </c>
      <c r="B3" s="40">
        <f>LOOKUP(B$14,Engines!$R:$R,Engines!$E:$E)</f>
        <v>3</v>
      </c>
      <c r="C3" s="41">
        <f>LOOKUP(C$14,Engines!$R:$R,Engines!$E:$E)</f>
        <v>0.9</v>
      </c>
      <c r="D3" s="41">
        <f>LOOKUP(D$14,Engines!$R:$R,Engines!$E:$E)</f>
        <v>0.9</v>
      </c>
      <c r="E3" s="41">
        <f>LOOKUP(E$14,Engines!$R:$R,Engines!$E:$E)</f>
        <v>4.5</v>
      </c>
      <c r="F3" s="41">
        <f>LOOKUP(F$14,Engines!$R:$R,Engines!$E:$E)</f>
        <v>0</v>
      </c>
      <c r="G3" s="41">
        <f>LOOKUP(G$14,Engines!$R:$R,Engines!$E:$E)</f>
        <v>0</v>
      </c>
      <c r="H3" s="42">
        <f>LOOKUP(H$14,Engines!$R:$R,Engines!$E:$E)</f>
        <v>0</v>
      </c>
      <c r="I3" s="18"/>
      <c r="J3" s="59" t="s">
        <v>94</v>
      </c>
      <c r="K3" s="62" t="s">
        <v>95</v>
      </c>
      <c r="L3" s="63" t="s">
        <v>33</v>
      </c>
      <c r="O3" s="74" t="s">
        <v>1</v>
      </c>
      <c r="P3" s="70">
        <f>O16-P2</f>
        <v>153.6</v>
      </c>
    </row>
    <row r="4" spans="1:16" ht="15">
      <c r="A4" s="43" t="s">
        <v>2</v>
      </c>
      <c r="B4" s="29">
        <f>IF(B13,LOOKUP(B$14,Engines!$R:$R,Engines!$O:$O),LOOKUP(B$14,Engines!$R:$R,Engines!$P:$P))</f>
        <v>280</v>
      </c>
      <c r="C4" s="9">
        <f>IF(C13,LOOKUP(C$14,Engines!$R:$R,Engines!$O:$O),LOOKUP(C$14,Engines!$R:$R,Engines!$P:$P))</f>
        <v>275</v>
      </c>
      <c r="D4" s="9">
        <f>IF(D13,LOOKUP(D$14,Engines!$R:$R,Engines!$O:$O),LOOKUP(D$14,Engines!$R:$R,Engines!$P:$P))</f>
        <v>305</v>
      </c>
      <c r="E4" s="9">
        <f>IF(E13,LOOKUP(E$14,Engines!$R:$R,Engines!$O:$O),LOOKUP(E$14,Engines!$R:$R,Engines!$P:$P))</f>
        <v>195</v>
      </c>
      <c r="F4" s="9">
        <f>IF(F13,LOOKUP(F$14,Engines!$R:$R,Engines!$O:$O),LOOKUP(F$14,Engines!$R:$R,Engines!$P:$P))</f>
        <v>0</v>
      </c>
      <c r="G4" s="9">
        <f>IF(G13,LOOKUP(G$14,Engines!$R:$R,Engines!$O:$O),LOOKUP(G$14,Engines!$R:$R,Engines!$P:$P))</f>
        <v>0</v>
      </c>
      <c r="H4" s="10">
        <f>IF(H13,LOOKUP(H$14,Engines!$R:$R,Engines!$O:$O),LOOKUP(H$14,Engines!$R:$R,Engines!$P:$P))</f>
        <v>0</v>
      </c>
      <c r="I4" s="18"/>
      <c r="J4" s="60" t="s">
        <v>84</v>
      </c>
      <c r="K4" s="78">
        <f>9/720</f>
        <v>0.0125</v>
      </c>
      <c r="L4" s="79">
        <f>800/360</f>
        <v>2.2222222222222223</v>
      </c>
      <c r="O4" s="74" t="s">
        <v>79</v>
      </c>
      <c r="P4" s="71">
        <f>L24</f>
        <v>3023.7170657925226</v>
      </c>
    </row>
    <row r="5" spans="1:16" ht="15.75" thickBot="1">
      <c r="A5" s="43" t="s">
        <v>5</v>
      </c>
      <c r="B5" s="29">
        <f>IF(B13,LOOKUP(B$14,Engines!$R:$R,Engines!$J:$J),LOOKUP(B$14,Engines!$R:$R,Engines!$K:$K))</f>
        <v>568.75</v>
      </c>
      <c r="C5" s="9">
        <f>IF(C13,LOOKUP(C$14,Engines!$R:$R,Engines!$J:$J),LOOKUP(C$14,Engines!$R:$R,Engines!$K:$K))</f>
        <v>108.2</v>
      </c>
      <c r="D5" s="9">
        <f>IF(D13,LOOKUP(D$14,Engines!$R:$R,Engines!$J:$J),LOOKUP(D$14,Engines!$R:$R,Engines!$K:$K))</f>
        <v>120</v>
      </c>
      <c r="E5" s="9">
        <f>IF(E13,LOOKUP(E$14,Engines!$R:$R,Engines!$J:$J),LOOKUP(E$14,Engines!$R:$R,Engines!$K:$K))</f>
        <v>593.86</v>
      </c>
      <c r="F5" s="9">
        <f>IF(F13,LOOKUP(F$14,Engines!$R:$R,Engines!$J:$J),LOOKUP(F$14,Engines!$R:$R,Engines!$K:$K))</f>
        <v>0</v>
      </c>
      <c r="G5" s="9">
        <f>IF(G13,LOOKUP(G$14,Engines!$R:$R,Engines!$J:$J),LOOKUP(G$14,Engines!$R:$R,Engines!$K:$K))</f>
        <v>0</v>
      </c>
      <c r="H5" s="10">
        <f>IF(H13,LOOKUP(H$14,Engines!$R:$R,Engines!$J:$J),LOOKUP(H$14,Engines!$R:$R,Engines!$K:$K))</f>
        <v>0</v>
      </c>
      <c r="I5" s="18"/>
      <c r="J5" s="61" t="s">
        <v>85</v>
      </c>
      <c r="K5" s="80">
        <v>0.0075</v>
      </c>
      <c r="L5" s="81">
        <f>(2700-1140)/2600</f>
        <v>0.6</v>
      </c>
      <c r="O5" s="74" t="s">
        <v>78</v>
      </c>
      <c r="P5" s="72">
        <f>P6/$P$2</f>
        <v>1503.8095238095239</v>
      </c>
    </row>
    <row r="6" spans="1:16" ht="15.75" thickBot="1">
      <c r="A6" s="43" t="s">
        <v>59</v>
      </c>
      <c r="B6" s="29">
        <f>LOOKUP(B$14,Engines!$R:$R,Engines!$N:$N)</f>
        <v>41.426</v>
      </c>
      <c r="C6" s="9">
        <f>LOOKUP(C$14,Engines!$R:$R,Engines!$N:$N)</f>
        <v>8.024</v>
      </c>
      <c r="D6" s="9">
        <f>LOOKUP(D$14,Engines!$R:$R,Engines!$N:$N)</f>
        <v>8.024</v>
      </c>
      <c r="E6" s="9">
        <f>LOOKUP(E$14,Engines!$R:$R,Engines!$N:$N)</f>
        <v>41.40127388535032</v>
      </c>
      <c r="F6" s="9">
        <f>LOOKUP(F$14,Engines!$R:$R,Engines!$N:$N)</f>
        <v>0</v>
      </c>
      <c r="G6" s="9">
        <f>LOOKUP(G$14,Engines!$R:$R,Engines!$N:$N)</f>
        <v>0</v>
      </c>
      <c r="H6" s="10">
        <f>LOOKUP(H$14,Engines!$R:$R,Engines!$N:$N)</f>
        <v>0</v>
      </c>
      <c r="I6" s="18"/>
      <c r="J6" s="18"/>
      <c r="K6" s="18"/>
      <c r="L6" s="18"/>
      <c r="O6" s="75" t="s">
        <v>33</v>
      </c>
      <c r="P6" s="73">
        <f>SUMPRODUCT($B$12:$H$12,$B$9:$H$9)+($I$24*$L$4)</f>
        <v>31580</v>
      </c>
    </row>
    <row r="7" spans="1:16" ht="15">
      <c r="A7" s="43" t="s">
        <v>126</v>
      </c>
      <c r="B7" s="29">
        <f>LOOKUP(B$14,Engines!$R:$R,Engines!$I:$I)</f>
        <v>0</v>
      </c>
      <c r="C7" s="9">
        <f>LOOKUP(C$14,Engines!$R:$R,Engines!$I:$I)</f>
        <v>0</v>
      </c>
      <c r="D7" s="9">
        <f>LOOKUP(D$14,Engines!$R:$R,Engines!$I:$I)</f>
        <v>0</v>
      </c>
      <c r="E7" s="9">
        <f>LOOKUP(E$14,Engines!$R:$R,Engines!$I:$I)</f>
        <v>2600</v>
      </c>
      <c r="F7" s="9">
        <f>LOOKUP(F$14,Engines!$R:$R,Engines!$I:$I)</f>
        <v>0</v>
      </c>
      <c r="G7" s="9">
        <f>LOOKUP(G$14,Engines!$R:$R,Engines!$I:$I)</f>
        <v>0</v>
      </c>
      <c r="H7" s="10">
        <f>LOOKUP(H$14,Engines!$R:$R,Engines!$I:$I)</f>
        <v>0</v>
      </c>
      <c r="I7" s="18"/>
      <c r="J7" s="18"/>
      <c r="K7" s="18"/>
      <c r="L7" s="18"/>
      <c r="O7" s="90"/>
      <c r="P7" s="91"/>
    </row>
    <row r="8" spans="1:12" ht="15.75" thickBot="1">
      <c r="A8" s="43" t="s">
        <v>86</v>
      </c>
      <c r="B8" s="85">
        <f>LOOKUP(B$14,Engines!$R:$R,Engines!$T:$T)</f>
        <v>1</v>
      </c>
      <c r="C8" s="86">
        <f>LOOKUP(C$14,Engines!$R:$R,Engines!$T:$T)</f>
        <v>1</v>
      </c>
      <c r="D8" s="89">
        <f>LOOKUP(D$14,Engines!$R:$R,Engines!$T:$T)</f>
        <v>1</v>
      </c>
      <c r="E8" s="86">
        <f>LOOKUP(E$14,Engines!$R:$R,Engines!$T:$T)</f>
        <v>0</v>
      </c>
      <c r="F8" s="86">
        <f>LOOKUP(F$14,Engines!$R:$R,Engines!$T:$T)</f>
        <v>0</v>
      </c>
      <c r="G8" s="86">
        <f>LOOKUP(G$14,Engines!$R:$R,Engines!$T:$T)</f>
        <v>0</v>
      </c>
      <c r="H8" s="87">
        <f>LOOKUP(H$14,Engines!$R:$R,Engines!$T:$T)</f>
        <v>0</v>
      </c>
      <c r="I8" s="18"/>
      <c r="J8" s="18"/>
      <c r="K8" s="18"/>
      <c r="L8" s="18"/>
    </row>
    <row r="9" spans="1:16" ht="15.75" thickBot="1">
      <c r="A9" s="43" t="s">
        <v>77</v>
      </c>
      <c r="B9" s="29">
        <f>LOOKUP(B$14,Engines!$R:$R,Engines!$C:$C)</f>
        <v>5300</v>
      </c>
      <c r="C9" s="9">
        <f>LOOKUP(C$14,Engines!$R:$R,Engines!$C:$C)</f>
        <v>820</v>
      </c>
      <c r="D9" s="9">
        <f>LOOKUP(D$14,Engines!$R:$R,Engines!$C:$C)</f>
        <v>820</v>
      </c>
      <c r="E9" s="9">
        <f>LOOKUP(E$14,Engines!$R:$R,Engines!$C:$C)</f>
        <v>2700</v>
      </c>
      <c r="F9" s="9">
        <f>LOOKUP(F$14,Engines!$R:$R,Engines!$C:$C)</f>
        <v>0</v>
      </c>
      <c r="G9" s="9">
        <f>LOOKUP(G$14,Engines!$R:$R,Engines!$C:$C)</f>
        <v>0</v>
      </c>
      <c r="H9" s="10">
        <f>LOOKUP(H$14,Engines!$R:$R,Engines!$C:$C)</f>
        <v>0</v>
      </c>
      <c r="I9" s="19"/>
      <c r="J9" s="106" t="s">
        <v>80</v>
      </c>
      <c r="K9" s="107"/>
      <c r="L9" s="19"/>
      <c r="O9" s="115" t="s">
        <v>80</v>
      </c>
      <c r="P9" s="116"/>
    </row>
    <row r="10" spans="1:16" ht="15.75" thickBot="1">
      <c r="A10" s="48" t="s">
        <v>128</v>
      </c>
      <c r="B10" s="101">
        <f>(B5*B12)/SUMPRODUCT($B$5:$H$5,$B$12:$H$12)</f>
        <v>0.2570191651565614</v>
      </c>
      <c r="C10" s="102">
        <f aca="true" t="shared" si="0" ref="C10:H10">(C5*C12)/SUMPRODUCT($B$5:$H$5,$B$12:$H$12)</f>
        <v>0.09779155576242618</v>
      </c>
      <c r="D10" s="102">
        <f t="shared" si="0"/>
        <v>0.10845643892320833</v>
      </c>
      <c r="E10" s="102">
        <f t="shared" si="0"/>
        <v>0.5367328401578042</v>
      </c>
      <c r="F10" s="102">
        <f t="shared" si="0"/>
        <v>0</v>
      </c>
      <c r="G10" s="102">
        <f t="shared" si="0"/>
        <v>0</v>
      </c>
      <c r="H10" s="103">
        <f t="shared" si="0"/>
        <v>0</v>
      </c>
      <c r="I10" s="19"/>
      <c r="J10" s="98"/>
      <c r="K10" s="99"/>
      <c r="L10" s="19"/>
      <c r="O10" s="49"/>
      <c r="P10" s="100"/>
    </row>
    <row r="11" spans="1:16" ht="15.75" thickBot="1">
      <c r="A11" s="48"/>
      <c r="B11" s="120" t="s">
        <v>88</v>
      </c>
      <c r="C11" s="120"/>
      <c r="D11" s="120"/>
      <c r="E11" s="120"/>
      <c r="F11" s="120"/>
      <c r="G11" s="120"/>
      <c r="H11" s="121"/>
      <c r="I11" s="19"/>
      <c r="J11" s="67" t="s">
        <v>81</v>
      </c>
      <c r="K11" s="64">
        <v>1</v>
      </c>
      <c r="L11" s="19"/>
      <c r="O11" s="109" t="s">
        <v>92</v>
      </c>
      <c r="P11" s="110"/>
    </row>
    <row r="12" spans="1:16" s="2" customFormat="1" ht="15">
      <c r="A12" s="25" t="s">
        <v>72</v>
      </c>
      <c r="B12" s="30">
        <v>1</v>
      </c>
      <c r="C12" s="6">
        <v>2</v>
      </c>
      <c r="D12" s="6">
        <v>2</v>
      </c>
      <c r="E12" s="6">
        <v>2</v>
      </c>
      <c r="F12" s="6">
        <v>0</v>
      </c>
      <c r="G12" s="6">
        <v>0</v>
      </c>
      <c r="H12" s="20">
        <v>0</v>
      </c>
      <c r="I12" s="19"/>
      <c r="J12" s="68" t="s">
        <v>83</v>
      </c>
      <c r="K12" s="65">
        <v>-1</v>
      </c>
      <c r="O12" s="111" t="s">
        <v>93</v>
      </c>
      <c r="P12" s="112"/>
    </row>
    <row r="13" spans="1:16" s="2" customFormat="1" ht="15.75" thickBot="1">
      <c r="A13" s="25" t="s">
        <v>74</v>
      </c>
      <c r="B13" s="30">
        <v>1</v>
      </c>
      <c r="C13" s="6">
        <v>1</v>
      </c>
      <c r="D13" s="6">
        <v>0</v>
      </c>
      <c r="E13" s="6">
        <v>1</v>
      </c>
      <c r="F13" s="6">
        <v>0</v>
      </c>
      <c r="G13" s="6">
        <v>0</v>
      </c>
      <c r="H13" s="20">
        <v>0</v>
      </c>
      <c r="I13" s="19"/>
      <c r="J13" s="69" t="s">
        <v>82</v>
      </c>
      <c r="K13" s="66">
        <v>0</v>
      </c>
      <c r="O13" s="113" t="s">
        <v>91</v>
      </c>
      <c r="P13" s="114"/>
    </row>
    <row r="14" spans="1:8" s="16" customFormat="1" ht="15.75" thickBot="1">
      <c r="A14" s="25" t="s">
        <v>0</v>
      </c>
      <c r="B14" s="31" t="s">
        <v>6</v>
      </c>
      <c r="C14" s="32" t="s">
        <v>7</v>
      </c>
      <c r="D14" s="32" t="s">
        <v>7</v>
      </c>
      <c r="E14" s="32" t="s">
        <v>69</v>
      </c>
      <c r="F14" s="32" t="s">
        <v>3</v>
      </c>
      <c r="G14" s="32" t="s">
        <v>3</v>
      </c>
      <c r="H14" s="33" t="s">
        <v>3</v>
      </c>
    </row>
    <row r="15" spans="1:18" s="16" customFormat="1" ht="15.75" thickBot="1">
      <c r="A15" s="44"/>
      <c r="B15" s="105" t="s">
        <v>89</v>
      </c>
      <c r="C15" s="105"/>
      <c r="D15" s="105"/>
      <c r="E15" s="105"/>
      <c r="F15" s="105"/>
      <c r="G15" s="105"/>
      <c r="H15" s="105"/>
      <c r="I15" s="53" t="s">
        <v>84</v>
      </c>
      <c r="J15" s="54" t="s">
        <v>85</v>
      </c>
      <c r="K15" s="55" t="s">
        <v>73</v>
      </c>
      <c r="L15" s="56" t="s">
        <v>11</v>
      </c>
      <c r="M15" s="57" t="s">
        <v>58</v>
      </c>
      <c r="N15" s="57" t="s">
        <v>2</v>
      </c>
      <c r="O15" s="57" t="s">
        <v>9</v>
      </c>
      <c r="P15" s="57" t="s">
        <v>10</v>
      </c>
      <c r="Q15" s="57" t="s">
        <v>56</v>
      </c>
      <c r="R15" s="58" t="s">
        <v>57</v>
      </c>
    </row>
    <row r="16" spans="1:18" ht="15">
      <c r="A16" s="26"/>
      <c r="B16" s="8">
        <v>1</v>
      </c>
      <c r="C16" s="8">
        <v>1</v>
      </c>
      <c r="D16" s="8">
        <v>1</v>
      </c>
      <c r="E16" s="8">
        <v>1</v>
      </c>
      <c r="F16" s="8">
        <v>0</v>
      </c>
      <c r="G16" s="8">
        <v>0</v>
      </c>
      <c r="H16" s="17">
        <v>0</v>
      </c>
      <c r="I16" s="11">
        <f>2880+1440</f>
        <v>4320</v>
      </c>
      <c r="J16" s="92">
        <f>SUMPRODUCT(--(B16:H16&gt;0),B16:H16,$B$7:$H$7,$B$12:$H$12)</f>
        <v>5200</v>
      </c>
      <c r="K16" s="45">
        <v>0.25</v>
      </c>
      <c r="L16" s="14">
        <f aca="true" t="shared" si="1" ref="L16:L23">LN(O16/P16)*9.81*N16*K16</f>
        <v>400.2162889286002</v>
      </c>
      <c r="M16" s="5">
        <f aca="true" t="shared" si="2" ref="M16:M23">IF(SUMPRODUCT(--(B16:H16&gt;0),--($B$8:$H$8),B16:H16),I16/SUMPRODUCT(--(B16:H16&gt;0),--($B$8:$H$8),$B$12:$H$12,$B$6:$H$6),0)*2</f>
        <v>117.5158455972362</v>
      </c>
      <c r="N16" s="5">
        <f aca="true" t="shared" si="3" ref="N16:N23">IF(SUMPRODUCT(--(B16:H16&gt;0),B16:H16),SUMPRODUCT(--(B16:H16&gt;0),B16:H16,B$5:H$5,B$4:H$4,$B$12:$H$12)/SUMPRODUCT(--(B16:H16&gt;0),B$5:H$5,B16:H16,$B$12:$H$12),0)</f>
        <v>236.60016178085476</v>
      </c>
      <c r="O16" s="7">
        <f>P2+SUMPRODUCT(B12:H12,B3:H3)+(SUM($I16:$I$23)*$K$4)+(SUM($J16:$J$23)*$K$5)</f>
        <v>174.6</v>
      </c>
      <c r="P16" s="5">
        <f>$O16-(32/36)*($I16*$K$4)-J16*$K$5</f>
        <v>87.6</v>
      </c>
      <c r="Q16" s="7">
        <f aca="true" t="shared" si="4" ref="Q16:R23">SUMPRODUCT(--($B16:$H16&gt;0),$B$12:$H$12,$B$5:$H$5)/(O16*9.81)</f>
        <v>1.2919409210275883</v>
      </c>
      <c r="R16" s="82">
        <f t="shared" si="4"/>
        <v>2.575032931637179</v>
      </c>
    </row>
    <row r="17" spans="1:18" ht="15">
      <c r="A17" s="27"/>
      <c r="B17" s="3">
        <v>-1</v>
      </c>
      <c r="C17" s="3">
        <v>1</v>
      </c>
      <c r="D17" s="3">
        <v>1</v>
      </c>
      <c r="E17" s="3">
        <v>-1</v>
      </c>
      <c r="F17" s="3">
        <v>0</v>
      </c>
      <c r="G17" s="3">
        <v>0</v>
      </c>
      <c r="H17" s="12">
        <v>0</v>
      </c>
      <c r="I17" s="13">
        <v>2880</v>
      </c>
      <c r="J17" s="92">
        <f>SUMPRODUCT(--(B17:H17&gt;0),B17:H17,$B$7:$H$7,$B$12:$H$12)</f>
        <v>0</v>
      </c>
      <c r="K17" s="46">
        <v>1</v>
      </c>
      <c r="L17" s="14">
        <f t="shared" si="1"/>
        <v>1756.46240617523</v>
      </c>
      <c r="M17" s="5">
        <f t="shared" si="2"/>
        <v>179.46161515453642</v>
      </c>
      <c r="N17" s="5">
        <f t="shared" si="3"/>
        <v>290.77563540753727</v>
      </c>
      <c r="O17" s="7">
        <f aca="true" t="shared" si="5" ref="O17:O23">O16-SUMPRODUCT(--(B17:H17&lt;0),$B$12:$H$12,$B$3:$H$3)-I16*$K$4-J16*$K$5</f>
        <v>69.6</v>
      </c>
      <c r="P17" s="5">
        <f aca="true" t="shared" si="6" ref="P17:P23">$O17-(32/36)*($I17*$K$4)-J17*$K$5</f>
        <v>37.599999999999994</v>
      </c>
      <c r="Q17" s="7">
        <f t="shared" si="4"/>
        <v>0.6684476314340282</v>
      </c>
      <c r="R17" s="82">
        <f t="shared" si="4"/>
        <v>1.2373392326544779</v>
      </c>
    </row>
    <row r="18" spans="1:18" ht="15">
      <c r="A18" s="27"/>
      <c r="B18" s="3">
        <v>0</v>
      </c>
      <c r="C18" s="3">
        <v>-1</v>
      </c>
      <c r="D18" s="3">
        <v>1</v>
      </c>
      <c r="E18" s="3">
        <v>0</v>
      </c>
      <c r="F18" s="3">
        <v>0</v>
      </c>
      <c r="G18" s="3">
        <v>0</v>
      </c>
      <c r="H18" s="12">
        <v>0</v>
      </c>
      <c r="I18" s="13">
        <v>720</v>
      </c>
      <c r="J18" s="92">
        <f aca="true" t="shared" si="7" ref="J18:J23">SUMPRODUCT(--(B18:H18&gt;0),B18:H18,$B$7:$H$7,$B$12:$H$12)</f>
        <v>0</v>
      </c>
      <c r="K18" s="46">
        <v>1</v>
      </c>
      <c r="L18" s="14">
        <f t="shared" si="1"/>
        <v>867.0383706886926</v>
      </c>
      <c r="M18" s="5">
        <f t="shared" si="2"/>
        <v>89.73080757726821</v>
      </c>
      <c r="N18" s="5">
        <f t="shared" si="3"/>
        <v>305</v>
      </c>
      <c r="O18" s="7">
        <f t="shared" si="5"/>
        <v>31.799999999999997</v>
      </c>
      <c r="P18" s="5">
        <f t="shared" si="6"/>
        <v>23.799999999999997</v>
      </c>
      <c r="Q18" s="7">
        <f t="shared" si="4"/>
        <v>0.7693343334679669</v>
      </c>
      <c r="R18" s="82">
        <f t="shared" si="4"/>
        <v>1.027934109423586</v>
      </c>
    </row>
    <row r="19" spans="1:18" ht="15">
      <c r="A19" s="27"/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2">
        <v>0</v>
      </c>
      <c r="I19" s="13">
        <v>0</v>
      </c>
      <c r="J19" s="92">
        <f t="shared" si="7"/>
        <v>0</v>
      </c>
      <c r="K19" s="46">
        <v>1</v>
      </c>
      <c r="L19" s="14">
        <f t="shared" si="1"/>
        <v>0</v>
      </c>
      <c r="M19" s="5">
        <f t="shared" si="2"/>
        <v>0</v>
      </c>
      <c r="N19" s="5">
        <f t="shared" si="3"/>
        <v>0</v>
      </c>
      <c r="O19" s="7">
        <f t="shared" si="5"/>
        <v>22.799999999999997</v>
      </c>
      <c r="P19" s="5">
        <f t="shared" si="6"/>
        <v>22.799999999999997</v>
      </c>
      <c r="Q19" s="7">
        <f t="shared" si="4"/>
        <v>0</v>
      </c>
      <c r="R19" s="82">
        <f t="shared" si="4"/>
        <v>0</v>
      </c>
    </row>
    <row r="20" spans="1:18" ht="15">
      <c r="A20" s="27"/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2">
        <v>0</v>
      </c>
      <c r="I20" s="13">
        <v>0</v>
      </c>
      <c r="J20" s="92">
        <f t="shared" si="7"/>
        <v>0</v>
      </c>
      <c r="K20" s="46">
        <v>1</v>
      </c>
      <c r="L20" s="14">
        <f t="shared" si="1"/>
        <v>0</v>
      </c>
      <c r="M20" s="5">
        <f t="shared" si="2"/>
        <v>0</v>
      </c>
      <c r="N20" s="5">
        <f t="shared" si="3"/>
        <v>0</v>
      </c>
      <c r="O20" s="7">
        <f t="shared" si="5"/>
        <v>22.799999999999997</v>
      </c>
      <c r="P20" s="5">
        <f t="shared" si="6"/>
        <v>22.799999999999997</v>
      </c>
      <c r="Q20" s="7">
        <f t="shared" si="4"/>
        <v>0</v>
      </c>
      <c r="R20" s="82">
        <f t="shared" si="4"/>
        <v>0</v>
      </c>
    </row>
    <row r="21" spans="1:18" ht="15">
      <c r="A21" s="27"/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2">
        <v>0</v>
      </c>
      <c r="I21" s="13">
        <v>0</v>
      </c>
      <c r="J21" s="92">
        <f t="shared" si="7"/>
        <v>0</v>
      </c>
      <c r="K21" s="46">
        <v>1</v>
      </c>
      <c r="L21" s="14">
        <f t="shared" si="1"/>
        <v>0</v>
      </c>
      <c r="M21" s="5">
        <f t="shared" si="2"/>
        <v>0</v>
      </c>
      <c r="N21" s="5">
        <f t="shared" si="3"/>
        <v>0</v>
      </c>
      <c r="O21" s="7">
        <f t="shared" si="5"/>
        <v>22.799999999999997</v>
      </c>
      <c r="P21" s="5">
        <f t="shared" si="6"/>
        <v>22.799999999999997</v>
      </c>
      <c r="Q21" s="7">
        <f t="shared" si="4"/>
        <v>0</v>
      </c>
      <c r="R21" s="82">
        <f t="shared" si="4"/>
        <v>0</v>
      </c>
    </row>
    <row r="22" spans="1:18" ht="15">
      <c r="A22" s="27"/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2">
        <v>0</v>
      </c>
      <c r="I22" s="13">
        <v>0</v>
      </c>
      <c r="J22" s="92">
        <f t="shared" si="7"/>
        <v>0</v>
      </c>
      <c r="K22" s="46">
        <v>1</v>
      </c>
      <c r="L22" s="14">
        <f t="shared" si="1"/>
        <v>0</v>
      </c>
      <c r="M22" s="5">
        <f t="shared" si="2"/>
        <v>0</v>
      </c>
      <c r="N22" s="5">
        <f t="shared" si="3"/>
        <v>0</v>
      </c>
      <c r="O22" s="7">
        <f t="shared" si="5"/>
        <v>22.799999999999997</v>
      </c>
      <c r="P22" s="5">
        <f t="shared" si="6"/>
        <v>22.799999999999997</v>
      </c>
      <c r="Q22" s="7">
        <f t="shared" si="4"/>
        <v>0</v>
      </c>
      <c r="R22" s="82">
        <f t="shared" si="4"/>
        <v>0</v>
      </c>
    </row>
    <row r="23" spans="1:18" ht="15.75" thickBot="1">
      <c r="A23" s="28"/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13">
        <v>0</v>
      </c>
      <c r="J23" s="92">
        <f t="shared" si="7"/>
        <v>0</v>
      </c>
      <c r="K23" s="47">
        <v>1</v>
      </c>
      <c r="L23" s="23">
        <f t="shared" si="1"/>
        <v>0</v>
      </c>
      <c r="M23" s="5">
        <f t="shared" si="2"/>
        <v>0</v>
      </c>
      <c r="N23" s="24">
        <f t="shared" si="3"/>
        <v>0</v>
      </c>
      <c r="O23" s="7">
        <f t="shared" si="5"/>
        <v>22.799999999999997</v>
      </c>
      <c r="P23" s="5">
        <f t="shared" si="6"/>
        <v>22.799999999999997</v>
      </c>
      <c r="Q23" s="83">
        <f t="shared" si="4"/>
        <v>0</v>
      </c>
      <c r="R23" s="84">
        <f t="shared" si="4"/>
        <v>0</v>
      </c>
    </row>
    <row r="24" spans="1:18" ht="15.75" thickBot="1">
      <c r="A24" s="50"/>
      <c r="B24" s="51"/>
      <c r="C24" s="51"/>
      <c r="D24" s="51"/>
      <c r="E24" s="51"/>
      <c r="F24" s="51"/>
      <c r="G24" s="51"/>
      <c r="H24" s="52" t="s">
        <v>76</v>
      </c>
      <c r="I24" s="34">
        <f>SUM(I16:I23)</f>
        <v>7920</v>
      </c>
      <c r="J24" s="34">
        <f>SUM(J16:J23)</f>
        <v>5200</v>
      </c>
      <c r="K24" s="35"/>
      <c r="L24" s="36">
        <f>SUM(L16:L23)</f>
        <v>3023.7170657925226</v>
      </c>
      <c r="M24" s="36">
        <f>SUM(M16:M23)</f>
        <v>386.7082683290408</v>
      </c>
      <c r="N24" s="37"/>
      <c r="O24" s="38">
        <f>O16</f>
        <v>174.6</v>
      </c>
      <c r="P24" s="36">
        <f>P23</f>
        <v>22.799999999999997</v>
      </c>
      <c r="Q24" s="37"/>
      <c r="R24" s="39"/>
    </row>
    <row r="25" spans="1:8" ht="15">
      <c r="A25"/>
      <c r="H25" s="16"/>
    </row>
    <row r="28" ht="15">
      <c r="A28"/>
    </row>
    <row r="29" ht="15">
      <c r="A29"/>
    </row>
    <row r="30" ht="15">
      <c r="A30"/>
    </row>
  </sheetData>
  <sheetProtection/>
  <mergeCells count="10">
    <mergeCell ref="A1:H1"/>
    <mergeCell ref="B2:H2"/>
    <mergeCell ref="B11:H11"/>
    <mergeCell ref="B15:H15"/>
    <mergeCell ref="J9:K9"/>
    <mergeCell ref="J2:L2"/>
    <mergeCell ref="O11:P11"/>
    <mergeCell ref="O12:P12"/>
    <mergeCell ref="O13:P13"/>
    <mergeCell ref="O9:P9"/>
  </mergeCells>
  <printOptions/>
  <pageMargins left="0.7" right="0.7" top="0.75" bottom="0.75" header="0.3" footer="0.3"/>
  <pageSetup horizontalDpi="600" verticalDpi="600" orientation="portrait" r:id="rId1"/>
  <ignoredErrors>
    <ignoredError sqref="J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3.8515625" style="1" bestFit="1" customWidth="1"/>
    <col min="2" max="2" width="8.7109375" style="0" customWidth="1"/>
    <col min="3" max="6" width="9.57421875" style="0" bestFit="1" customWidth="1"/>
    <col min="7" max="8" width="8.7109375" style="0" customWidth="1"/>
    <col min="9" max="9" width="8.8515625" style="0" customWidth="1"/>
    <col min="10" max="10" width="9.57421875" style="0" bestFit="1" customWidth="1"/>
    <col min="11" max="11" width="7.421875" style="15" bestFit="1" customWidth="1"/>
    <col min="12" max="12" width="9.57421875" style="0" bestFit="1" customWidth="1"/>
    <col min="13" max="14" width="10.00390625" style="0" bestFit="1" customWidth="1"/>
    <col min="15" max="15" width="9.57421875" style="0" bestFit="1" customWidth="1"/>
    <col min="16" max="16" width="10.00390625" style="0" bestFit="1" customWidth="1"/>
    <col min="17" max="17" width="7.00390625" style="0" bestFit="1" customWidth="1"/>
    <col min="18" max="18" width="8.57421875" style="0" bestFit="1" customWidth="1"/>
  </cols>
  <sheetData>
    <row r="1" spans="1:9" ht="15.75" thickBot="1">
      <c r="A1" s="115" t="s">
        <v>90</v>
      </c>
      <c r="B1" s="117"/>
      <c r="C1" s="117"/>
      <c r="D1" s="117"/>
      <c r="E1" s="117"/>
      <c r="F1" s="117"/>
      <c r="G1" s="117"/>
      <c r="H1" s="118"/>
      <c r="I1" s="18"/>
    </row>
    <row r="2" spans="1:16" ht="15.75" thickBot="1">
      <c r="A2" s="49"/>
      <c r="B2" s="105" t="s">
        <v>87</v>
      </c>
      <c r="C2" s="105"/>
      <c r="D2" s="105"/>
      <c r="E2" s="105"/>
      <c r="F2" s="105"/>
      <c r="G2" s="105"/>
      <c r="H2" s="119"/>
      <c r="I2" s="18"/>
      <c r="J2" s="106" t="s">
        <v>8</v>
      </c>
      <c r="K2" s="108"/>
      <c r="L2" s="107"/>
      <c r="O2" s="77" t="s">
        <v>75</v>
      </c>
      <c r="P2" s="76">
        <v>18.5</v>
      </c>
    </row>
    <row r="3" spans="1:16" ht="15.75" thickBot="1">
      <c r="A3" s="43" t="s">
        <v>1</v>
      </c>
      <c r="B3" s="40">
        <f>LOOKUP(B$14,Engines!$R:$R,Engines!$E:$E)</f>
        <v>2</v>
      </c>
      <c r="C3" s="41">
        <f>LOOKUP(C$14,Engines!$R:$R,Engines!$E:$E)</f>
        <v>0.9</v>
      </c>
      <c r="D3" s="41">
        <f>LOOKUP(D$14,Engines!$R:$R,Engines!$E:$E)</f>
        <v>0</v>
      </c>
      <c r="E3" s="41">
        <f>LOOKUP(E$14,Engines!$R:$R,Engines!$E:$E)</f>
        <v>0</v>
      </c>
      <c r="F3" s="41">
        <f>LOOKUP(F$14,Engines!$R:$R,Engines!$E:$E)</f>
        <v>0</v>
      </c>
      <c r="G3" s="41">
        <f>LOOKUP(G$14,Engines!$R:$R,Engines!$E:$E)</f>
        <v>4.5</v>
      </c>
      <c r="H3" s="42">
        <f>LOOKUP(H$14,Engines!$R:$R,Engines!$E:$E)</f>
        <v>1.5</v>
      </c>
      <c r="I3" s="18"/>
      <c r="J3" s="59" t="s">
        <v>94</v>
      </c>
      <c r="K3" s="62" t="s">
        <v>95</v>
      </c>
      <c r="L3" s="63" t="s">
        <v>33</v>
      </c>
      <c r="O3" s="74" t="s">
        <v>1</v>
      </c>
      <c r="P3" s="70">
        <f>O16-P2</f>
        <v>109.85</v>
      </c>
    </row>
    <row r="4" spans="1:16" ht="15">
      <c r="A4" s="43" t="s">
        <v>2</v>
      </c>
      <c r="B4" s="29">
        <f>IF(B13,LOOKUP(B$14,Engines!$R:$R,Engines!$O:$O),LOOKUP(B$14,Engines!$R:$R,Engines!$P:$P))</f>
        <v>290</v>
      </c>
      <c r="C4" s="9">
        <f>IF(C13,LOOKUP(C$14,Engines!$R:$R,Engines!$O:$O),LOOKUP(C$14,Engines!$R:$R,Engines!$P:$P))</f>
        <v>305</v>
      </c>
      <c r="D4" s="9">
        <f>IF(D13,LOOKUP(D$14,Engines!$R:$R,Engines!$O:$O),LOOKUP(D$14,Engines!$R:$R,Engines!$P:$P))</f>
        <v>0</v>
      </c>
      <c r="E4" s="9">
        <f>IF(E13,LOOKUP(E$14,Engines!$R:$R,Engines!$O:$O),LOOKUP(E$14,Engines!$R:$R,Engines!$P:$P))</f>
        <v>0</v>
      </c>
      <c r="F4" s="9">
        <f>IF(F13,LOOKUP(F$14,Engines!$R:$R,Engines!$O:$O),LOOKUP(F$14,Engines!$R:$R,Engines!$P:$P))</f>
        <v>0</v>
      </c>
      <c r="G4" s="9">
        <f>IF(G13,LOOKUP(G$14,Engines!$R:$R,Engines!$O:$O),LOOKUP(G$14,Engines!$R:$R,Engines!$P:$P))</f>
        <v>195</v>
      </c>
      <c r="H4" s="10">
        <f>IF(H13,LOOKUP(H$14,Engines!$R:$R,Engines!$O:$O),LOOKUP(H$14,Engines!$R:$R,Engines!$P:$P))</f>
        <v>175</v>
      </c>
      <c r="I4" s="18"/>
      <c r="J4" s="60" t="s">
        <v>84</v>
      </c>
      <c r="K4" s="78">
        <f>9/720</f>
        <v>0.0125</v>
      </c>
      <c r="L4" s="79">
        <f>800/360</f>
        <v>2.2222222222222223</v>
      </c>
      <c r="O4" s="74" t="s">
        <v>79</v>
      </c>
      <c r="P4" s="71">
        <f>L24</f>
        <v>3096.019090658902</v>
      </c>
    </row>
    <row r="5" spans="1:16" ht="15.75" thickBot="1">
      <c r="A5" s="43" t="s">
        <v>5</v>
      </c>
      <c r="B5" s="29">
        <f>IF(B13,LOOKUP(B$14,Engines!$R:$R,Engines!$J:$J),LOOKUP(B$14,Engines!$R:$R,Engines!$K:$K))</f>
        <v>374.19</v>
      </c>
      <c r="C5" s="9">
        <f>IF(C13,LOOKUP(C$14,Engines!$R:$R,Engines!$J:$J),LOOKUP(C$14,Engines!$R:$R,Engines!$K:$K))</f>
        <v>120</v>
      </c>
      <c r="D5" s="9">
        <f>IF(D13,LOOKUP(D$14,Engines!$R:$R,Engines!$J:$J),LOOKUP(D$14,Engines!$R:$R,Engines!$K:$K))</f>
        <v>0</v>
      </c>
      <c r="E5" s="9">
        <f>IF(E13,LOOKUP(E$14,Engines!$R:$R,Engines!$J:$J),LOOKUP(E$14,Engines!$R:$R,Engines!$K:$K))</f>
        <v>0</v>
      </c>
      <c r="F5" s="9">
        <f>IF(F13,LOOKUP(F$14,Engines!$R:$R,Engines!$J:$J),LOOKUP(F$14,Engines!$R:$R,Engines!$K:$K))</f>
        <v>0</v>
      </c>
      <c r="G5" s="9">
        <f>IF(G13,LOOKUP(G$14,Engines!$R:$R,Engines!$J:$J),LOOKUP(G$14,Engines!$R:$R,Engines!$K:$K))</f>
        <v>593.86</v>
      </c>
      <c r="H5" s="10">
        <f>IF(H13,LOOKUP(H$14,Engines!$R:$R,Engines!$J:$J),LOOKUP(H$14,Engines!$R:$R,Engines!$K:$K))</f>
        <v>250</v>
      </c>
      <c r="I5" s="18"/>
      <c r="J5" s="61" t="s">
        <v>85</v>
      </c>
      <c r="K5" s="80">
        <v>0.0075</v>
      </c>
      <c r="L5" s="81">
        <f>(2700-1140)/2600</f>
        <v>0.6</v>
      </c>
      <c r="O5" s="74" t="s">
        <v>78</v>
      </c>
      <c r="P5" s="72">
        <f>P6/$P$2</f>
        <v>991.3513513513514</v>
      </c>
    </row>
    <row r="6" spans="1:16" ht="15.75" thickBot="1">
      <c r="A6" s="43" t="s">
        <v>59</v>
      </c>
      <c r="B6" s="29">
        <f>LOOKUP(B$14,Engines!$R:$R,Engines!$N:$N)</f>
        <v>26.32</v>
      </c>
      <c r="C6" s="9">
        <f>LOOKUP(C$14,Engines!$R:$R,Engines!$N:$N)</f>
        <v>8.024</v>
      </c>
      <c r="D6" s="9">
        <f>LOOKUP(D$14,Engines!$R:$R,Engines!$N:$N)</f>
        <v>0</v>
      </c>
      <c r="E6" s="9">
        <f>LOOKUP(E$14,Engines!$R:$R,Engines!$N:$N)</f>
        <v>0</v>
      </c>
      <c r="F6" s="9">
        <f>LOOKUP(F$14,Engines!$R:$R,Engines!$N:$N)</f>
        <v>0</v>
      </c>
      <c r="G6" s="9">
        <f>LOOKUP(G$14,Engines!$R:$R,Engines!$N:$N)</f>
        <v>41.40127388535032</v>
      </c>
      <c r="H6" s="10">
        <f>LOOKUP(H$14,Engines!$R:$R,Engines!$N:$N)</f>
        <v>19.43127962085308</v>
      </c>
      <c r="I6" s="18"/>
      <c r="J6" s="18"/>
      <c r="K6" s="18"/>
      <c r="L6" s="18"/>
      <c r="O6" s="75" t="s">
        <v>33</v>
      </c>
      <c r="P6" s="73">
        <f>SUMPRODUCT($B$12:$H$12,$B$9:$H$9)+($I$24*$L$4)</f>
        <v>18340</v>
      </c>
    </row>
    <row r="7" spans="1:16" ht="15">
      <c r="A7" s="43" t="s">
        <v>126</v>
      </c>
      <c r="B7" s="29">
        <f>LOOKUP(B$14,Engines!$R:$R,Engines!$I:$I)</f>
        <v>0</v>
      </c>
      <c r="C7" s="9">
        <f>LOOKUP(C$14,Engines!$R:$R,Engines!$I:$I)</f>
        <v>0</v>
      </c>
      <c r="D7" s="9">
        <f>LOOKUP(D$14,Engines!$R:$R,Engines!$I:$I)</f>
        <v>0</v>
      </c>
      <c r="E7" s="9">
        <f>LOOKUP(E$14,Engines!$R:$R,Engines!$I:$I)</f>
        <v>0</v>
      </c>
      <c r="F7" s="9">
        <f>LOOKUP(F$14,Engines!$R:$R,Engines!$I:$I)</f>
        <v>0</v>
      </c>
      <c r="G7" s="9">
        <f>LOOKUP(G$14,Engines!$R:$R,Engines!$I:$I)</f>
        <v>2600</v>
      </c>
      <c r="H7" s="10">
        <f>LOOKUP(H$14,Engines!$R:$R,Engines!$I:$I)</f>
        <v>820</v>
      </c>
      <c r="I7" s="18"/>
      <c r="J7" s="18"/>
      <c r="K7" s="18"/>
      <c r="L7" s="97"/>
      <c r="O7" s="90"/>
      <c r="P7" s="91"/>
    </row>
    <row r="8" spans="1:12" ht="15.75" thickBot="1">
      <c r="A8" s="43" t="s">
        <v>86</v>
      </c>
      <c r="B8" s="85">
        <f>LOOKUP(B$14,Engines!$R:$R,Engines!$T:$T)</f>
        <v>1</v>
      </c>
      <c r="C8" s="86">
        <f>LOOKUP(C$14,Engines!$R:$R,Engines!$T:$T)</f>
        <v>1</v>
      </c>
      <c r="D8" s="89">
        <f>LOOKUP(D$14,Engines!$R:$R,Engines!$T:$T)</f>
        <v>0</v>
      </c>
      <c r="E8" s="86">
        <f>LOOKUP(E$14,Engines!$R:$R,Engines!$T:$T)</f>
        <v>0</v>
      </c>
      <c r="F8" s="86">
        <f>LOOKUP(F$14,Engines!$R:$R,Engines!$T:$T)</f>
        <v>0</v>
      </c>
      <c r="G8" s="86">
        <f>LOOKUP(G$14,Engines!$R:$R,Engines!$T:$T)</f>
        <v>0</v>
      </c>
      <c r="H8" s="87">
        <f>LOOKUP(H$14,Engines!$R:$R,Engines!$T:$T)</f>
        <v>0</v>
      </c>
      <c r="I8" s="18"/>
      <c r="J8" s="18"/>
      <c r="K8" s="18"/>
      <c r="L8" s="18"/>
    </row>
    <row r="9" spans="1:16" ht="15.75" thickBot="1">
      <c r="A9" s="43" t="s">
        <v>77</v>
      </c>
      <c r="B9" s="29">
        <f>LOOKUP(B$14,Engines!$R:$R,Engines!$C:$C)</f>
        <v>2000</v>
      </c>
      <c r="C9" s="9">
        <f>LOOKUP(C$14,Engines!$R:$R,Engines!$C:$C)</f>
        <v>820</v>
      </c>
      <c r="D9" s="9">
        <f>LOOKUP(D$14,Engines!$R:$R,Engines!$C:$C)</f>
        <v>0</v>
      </c>
      <c r="E9" s="9">
        <f>LOOKUP(E$14,Engines!$R:$R,Engines!$C:$C)</f>
        <v>0</v>
      </c>
      <c r="F9" s="9">
        <f>LOOKUP(F$14,Engines!$R:$R,Engines!$C:$C)</f>
        <v>0</v>
      </c>
      <c r="G9" s="9">
        <f>LOOKUP(G$14,Engines!$R:$R,Engines!$C:$C)</f>
        <v>2700</v>
      </c>
      <c r="H9" s="10">
        <f>LOOKUP(H$14,Engines!$R:$R,Engines!$C:$C)</f>
        <v>850</v>
      </c>
      <c r="I9" s="19"/>
      <c r="J9" s="106" t="s">
        <v>80</v>
      </c>
      <c r="K9" s="107"/>
      <c r="L9" s="19"/>
      <c r="O9" s="115" t="s">
        <v>80</v>
      </c>
      <c r="P9" s="116"/>
    </row>
    <row r="10" spans="1:16" ht="15.75" thickBot="1">
      <c r="A10" s="48" t="s">
        <v>128</v>
      </c>
      <c r="B10" s="101">
        <f>(B5*B12)/SUMPRODUCT($B$5:$H$5,$B$12:$H$12)</f>
        <v>0.16255631193226494</v>
      </c>
      <c r="C10" s="102">
        <f aca="true" t="shared" si="0" ref="C10:H10">(C5*C12)/SUMPRODUCT($B$5:$H$5,$B$12:$H$12)</f>
        <v>0.10426124392352439</v>
      </c>
      <c r="D10" s="102">
        <f t="shared" si="0"/>
        <v>0</v>
      </c>
      <c r="E10" s="102">
        <f t="shared" si="0"/>
        <v>0</v>
      </c>
      <c r="F10" s="102">
        <f t="shared" si="0"/>
        <v>0</v>
      </c>
      <c r="G10" s="102">
        <f t="shared" si="0"/>
        <v>0.5159715193035349</v>
      </c>
      <c r="H10" s="103">
        <f t="shared" si="0"/>
        <v>0.2172109248406758</v>
      </c>
      <c r="I10" s="19"/>
      <c r="J10" s="98"/>
      <c r="K10" s="99"/>
      <c r="L10" s="19"/>
      <c r="O10" s="49"/>
      <c r="P10" s="100"/>
    </row>
    <row r="11" spans="1:16" ht="15.75" thickBot="1">
      <c r="A11" s="48"/>
      <c r="B11" s="120" t="s">
        <v>88</v>
      </c>
      <c r="C11" s="120"/>
      <c r="D11" s="120"/>
      <c r="E11" s="120"/>
      <c r="F11" s="120"/>
      <c r="G11" s="120"/>
      <c r="H11" s="121"/>
      <c r="I11" s="19"/>
      <c r="J11" s="67" t="s">
        <v>81</v>
      </c>
      <c r="K11" s="64">
        <v>1</v>
      </c>
      <c r="L11" s="19"/>
      <c r="O11" s="109" t="s">
        <v>92</v>
      </c>
      <c r="P11" s="110"/>
    </row>
    <row r="12" spans="1:16" s="2" customFormat="1" ht="15">
      <c r="A12" s="25" t="s">
        <v>72</v>
      </c>
      <c r="B12" s="30">
        <v>1</v>
      </c>
      <c r="C12" s="6">
        <v>2</v>
      </c>
      <c r="D12" s="6">
        <v>0</v>
      </c>
      <c r="E12" s="6">
        <v>0</v>
      </c>
      <c r="F12" s="6">
        <v>0</v>
      </c>
      <c r="G12" s="6">
        <v>2</v>
      </c>
      <c r="H12" s="20">
        <v>2</v>
      </c>
      <c r="I12" s="19"/>
      <c r="J12" s="68" t="s">
        <v>83</v>
      </c>
      <c r="K12" s="65">
        <v>-1</v>
      </c>
      <c r="O12" s="111" t="s">
        <v>93</v>
      </c>
      <c r="P12" s="112"/>
    </row>
    <row r="13" spans="1:16" s="2" customFormat="1" ht="15.75" thickBot="1">
      <c r="A13" s="25" t="s">
        <v>127</v>
      </c>
      <c r="B13" s="30">
        <v>1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20">
        <v>1</v>
      </c>
      <c r="I13" s="19"/>
      <c r="J13" s="69" t="s">
        <v>82</v>
      </c>
      <c r="K13" s="66">
        <v>0</v>
      </c>
      <c r="M13" s="96"/>
      <c r="O13" s="113" t="s">
        <v>91</v>
      </c>
      <c r="P13" s="114"/>
    </row>
    <row r="14" spans="1:8" s="16" customFormat="1" ht="15.75" thickBot="1">
      <c r="A14" s="25" t="s">
        <v>0</v>
      </c>
      <c r="B14" s="93" t="s">
        <v>115</v>
      </c>
      <c r="C14" s="94" t="s">
        <v>7</v>
      </c>
      <c r="D14" s="94" t="s">
        <v>3</v>
      </c>
      <c r="E14" s="94" t="s">
        <v>3</v>
      </c>
      <c r="F14" s="32" t="s">
        <v>3</v>
      </c>
      <c r="G14" s="94" t="s">
        <v>69</v>
      </c>
      <c r="H14" s="95" t="s">
        <v>113</v>
      </c>
    </row>
    <row r="15" spans="1:18" s="16" customFormat="1" ht="15.75" thickBot="1">
      <c r="A15" s="44"/>
      <c r="B15" s="105" t="s">
        <v>89</v>
      </c>
      <c r="C15" s="105"/>
      <c r="D15" s="105"/>
      <c r="E15" s="105"/>
      <c r="F15" s="105"/>
      <c r="G15" s="105"/>
      <c r="H15" s="105"/>
      <c r="I15" s="53" t="s">
        <v>84</v>
      </c>
      <c r="J15" s="88" t="s">
        <v>85</v>
      </c>
      <c r="K15" s="55" t="s">
        <v>73</v>
      </c>
      <c r="L15" s="56" t="s">
        <v>11</v>
      </c>
      <c r="M15" s="57" t="s">
        <v>58</v>
      </c>
      <c r="N15" s="57" t="s">
        <v>2</v>
      </c>
      <c r="O15" s="57" t="s">
        <v>9</v>
      </c>
      <c r="P15" s="57" t="s">
        <v>10</v>
      </c>
      <c r="Q15" s="57" t="s">
        <v>56</v>
      </c>
      <c r="R15" s="58" t="s">
        <v>57</v>
      </c>
    </row>
    <row r="16" spans="1:18" ht="15">
      <c r="A16" s="26"/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8">
        <v>1</v>
      </c>
      <c r="H16" s="17">
        <v>1</v>
      </c>
      <c r="I16" s="11">
        <f>540+1440+720</f>
        <v>2700</v>
      </c>
      <c r="J16" s="92">
        <f>SUMPRODUCT(--(B16:H16&gt;0),B16:H16,$B$7:$H$7,$B$12:$H$12)</f>
        <v>6840</v>
      </c>
      <c r="K16" s="45">
        <v>1</v>
      </c>
      <c r="L16" s="14">
        <f aca="true" t="shared" si="1" ref="L16:L23">LN(O16/P16)*9.81*N16*K16</f>
        <v>2141.912860260271</v>
      </c>
      <c r="M16" s="5">
        <f>IF(SUMPRODUCT(--(B16:H16&gt;0),--($B$8:$H$8),B16:H16),I16/SUMPRODUCT(--(B16:H16&gt;0),--($B$8:$H$8),$B$12:$H$12,$B$6:$H$6),0)*2</f>
        <v>127.4546827794562</v>
      </c>
      <c r="N16" s="5">
        <f aca="true" t="shared" si="2" ref="N16:N23">IF(SUMPRODUCT(--(B16:H16&gt;0),B16:H16),SUMPRODUCT(--(B16:H16&gt;0),B16:H16,B$5:H$5,B$4:H$4,$B$12:$H$12)/SUMPRODUCT(--(B16:H16&gt;0),B$5:H$5,B16:H16,$B$12:$H$12),0)</f>
        <v>217.56736796833934</v>
      </c>
      <c r="O16" s="7">
        <f>P2+SUMPRODUCT(B12:H12,B3:H3)+(SUM($I16:$I$23)*$K$4)+(SUM($J16:$J$23)*$K$5)</f>
        <v>128.35</v>
      </c>
      <c r="P16" s="5">
        <f>$O16-(32/36)*($I16*$K$4)-J16*$K$5</f>
        <v>47.05</v>
      </c>
      <c r="Q16" s="7">
        <f aca="true" t="shared" si="3" ref="Q16:R23">SUMPRODUCT(--($B16:$H16&gt;0),$B$12:$H$12,$B$5:$H$5)/(O16*9.81)</f>
        <v>1.8281989669716034</v>
      </c>
      <c r="R16" s="82">
        <f t="shared" si="3"/>
        <v>4.987233526265787</v>
      </c>
    </row>
    <row r="17" spans="1:18" ht="15">
      <c r="A17" s="27"/>
      <c r="B17" s="3">
        <v>-1</v>
      </c>
      <c r="C17" s="3">
        <v>1</v>
      </c>
      <c r="D17" s="3">
        <v>0</v>
      </c>
      <c r="E17" s="3">
        <v>0</v>
      </c>
      <c r="F17" s="3">
        <v>0</v>
      </c>
      <c r="G17" s="3">
        <v>-1</v>
      </c>
      <c r="H17" s="12">
        <v>-1</v>
      </c>
      <c r="I17" s="13">
        <v>720</v>
      </c>
      <c r="J17" s="92">
        <f>SUMPRODUCT(--(B17:H17&gt;0),B17:H17,$B$7:$H$7,$B$12:$H$12)</f>
        <v>0</v>
      </c>
      <c r="K17" s="46">
        <v>1</v>
      </c>
      <c r="L17" s="14">
        <f t="shared" si="1"/>
        <v>954.106230398631</v>
      </c>
      <c r="M17" s="5">
        <f aca="true" t="shared" si="4" ref="M17:M23">IF(SUMPRODUCT(--(B17:H17&gt;0),--($B$8:$H$8),B17:H17),I17/SUMPRODUCT(--(B17:H17&gt;0),--($B$8:$H$8),$B$12:$H$12,$B$6:$H$6),0)*2</f>
        <v>89.73080757726821</v>
      </c>
      <c r="N17" s="5">
        <f t="shared" si="2"/>
        <v>305</v>
      </c>
      <c r="O17" s="7">
        <f aca="true" t="shared" si="5" ref="O17:O23">O16-SUMPRODUCT(--(B17:H17&lt;0),$B$12:$H$12,$B$3:$H$3)-I16*$K$4-J16*$K$5</f>
        <v>29.299999999999997</v>
      </c>
      <c r="P17" s="5">
        <f aca="true" t="shared" si="6" ref="P17:P23">$O17-(32/36)*($I17*$K$4)-J17*$K$5</f>
        <v>21.299999999999997</v>
      </c>
      <c r="Q17" s="7">
        <f t="shared" si="3"/>
        <v>0.8349771946853701</v>
      </c>
      <c r="R17" s="82">
        <f t="shared" si="3"/>
        <v>1.1485836527831619</v>
      </c>
    </row>
    <row r="18" spans="1:18" ht="15">
      <c r="A18" s="27"/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12">
        <v>0</v>
      </c>
      <c r="I18" s="13"/>
      <c r="J18" s="92">
        <f aca="true" t="shared" si="7" ref="J18:J23">SUMPRODUCT(--(B18:H18&gt;0),B18:H18,$B$7:$H$7,$B$12:$H$12)</f>
        <v>0</v>
      </c>
      <c r="K18" s="46">
        <v>1</v>
      </c>
      <c r="L18" s="14">
        <f t="shared" si="1"/>
        <v>0</v>
      </c>
      <c r="M18" s="5">
        <f t="shared" si="4"/>
        <v>0</v>
      </c>
      <c r="N18" s="5">
        <f t="shared" si="2"/>
        <v>305</v>
      </c>
      <c r="O18" s="7">
        <f t="shared" si="5"/>
        <v>20.299999999999997</v>
      </c>
      <c r="P18" s="5">
        <f t="shared" si="6"/>
        <v>20.299999999999997</v>
      </c>
      <c r="Q18" s="7">
        <f t="shared" si="3"/>
        <v>1.2051641282897216</v>
      </c>
      <c r="R18" s="82">
        <f t="shared" si="3"/>
        <v>1.2051641282897216</v>
      </c>
    </row>
    <row r="19" spans="1:18" ht="15">
      <c r="A19" s="27"/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2">
        <v>0</v>
      </c>
      <c r="I19" s="13">
        <v>0</v>
      </c>
      <c r="J19" s="92">
        <f t="shared" si="7"/>
        <v>0</v>
      </c>
      <c r="K19" s="46">
        <v>1</v>
      </c>
      <c r="L19" s="14">
        <f t="shared" si="1"/>
        <v>0</v>
      </c>
      <c r="M19" s="5">
        <f t="shared" si="4"/>
        <v>0</v>
      </c>
      <c r="N19" s="5">
        <f t="shared" si="2"/>
        <v>0</v>
      </c>
      <c r="O19" s="7">
        <f t="shared" si="5"/>
        <v>20.299999999999997</v>
      </c>
      <c r="P19" s="5">
        <f t="shared" si="6"/>
        <v>20.299999999999997</v>
      </c>
      <c r="Q19" s="7">
        <f t="shared" si="3"/>
        <v>0</v>
      </c>
      <c r="R19" s="82">
        <f t="shared" si="3"/>
        <v>0</v>
      </c>
    </row>
    <row r="20" spans="1:18" ht="15">
      <c r="A20" s="27"/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2">
        <v>0</v>
      </c>
      <c r="I20" s="13">
        <v>0</v>
      </c>
      <c r="J20" s="92">
        <f t="shared" si="7"/>
        <v>0</v>
      </c>
      <c r="K20" s="46">
        <v>1</v>
      </c>
      <c r="L20" s="14">
        <f t="shared" si="1"/>
        <v>0</v>
      </c>
      <c r="M20" s="5">
        <f t="shared" si="4"/>
        <v>0</v>
      </c>
      <c r="N20" s="5">
        <f t="shared" si="2"/>
        <v>0</v>
      </c>
      <c r="O20" s="7">
        <f t="shared" si="5"/>
        <v>20.299999999999997</v>
      </c>
      <c r="P20" s="5">
        <f t="shared" si="6"/>
        <v>20.299999999999997</v>
      </c>
      <c r="Q20" s="7">
        <f t="shared" si="3"/>
        <v>0</v>
      </c>
      <c r="R20" s="82">
        <f t="shared" si="3"/>
        <v>0</v>
      </c>
    </row>
    <row r="21" spans="1:18" ht="15">
      <c r="A21" s="27"/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2">
        <v>0</v>
      </c>
      <c r="I21" s="13">
        <v>0</v>
      </c>
      <c r="J21" s="92">
        <f t="shared" si="7"/>
        <v>0</v>
      </c>
      <c r="K21" s="46">
        <v>1</v>
      </c>
      <c r="L21" s="14">
        <f t="shared" si="1"/>
        <v>0</v>
      </c>
      <c r="M21" s="5">
        <f t="shared" si="4"/>
        <v>0</v>
      </c>
      <c r="N21" s="5">
        <f t="shared" si="2"/>
        <v>0</v>
      </c>
      <c r="O21" s="7">
        <f t="shared" si="5"/>
        <v>20.299999999999997</v>
      </c>
      <c r="P21" s="5">
        <f t="shared" si="6"/>
        <v>20.299999999999997</v>
      </c>
      <c r="Q21" s="7">
        <f t="shared" si="3"/>
        <v>0</v>
      </c>
      <c r="R21" s="82">
        <f t="shared" si="3"/>
        <v>0</v>
      </c>
    </row>
    <row r="22" spans="1:18" ht="15">
      <c r="A22" s="27"/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2">
        <v>0</v>
      </c>
      <c r="I22" s="13">
        <v>0</v>
      </c>
      <c r="J22" s="92">
        <f t="shared" si="7"/>
        <v>0</v>
      </c>
      <c r="K22" s="46">
        <v>1</v>
      </c>
      <c r="L22" s="14">
        <f t="shared" si="1"/>
        <v>0</v>
      </c>
      <c r="M22" s="5">
        <f t="shared" si="4"/>
        <v>0</v>
      </c>
      <c r="N22" s="5">
        <f t="shared" si="2"/>
        <v>0</v>
      </c>
      <c r="O22" s="7">
        <f t="shared" si="5"/>
        <v>20.299999999999997</v>
      </c>
      <c r="P22" s="5">
        <f t="shared" si="6"/>
        <v>20.299999999999997</v>
      </c>
      <c r="Q22" s="7">
        <f t="shared" si="3"/>
        <v>0</v>
      </c>
      <c r="R22" s="82">
        <f t="shared" si="3"/>
        <v>0</v>
      </c>
    </row>
    <row r="23" spans="1:18" ht="15.75" thickBot="1">
      <c r="A23" s="28"/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13">
        <v>0</v>
      </c>
      <c r="J23" s="92">
        <f t="shared" si="7"/>
        <v>0</v>
      </c>
      <c r="K23" s="47">
        <v>1</v>
      </c>
      <c r="L23" s="23">
        <f t="shared" si="1"/>
        <v>0</v>
      </c>
      <c r="M23" s="5">
        <f t="shared" si="4"/>
        <v>0</v>
      </c>
      <c r="N23" s="24">
        <f t="shared" si="2"/>
        <v>0</v>
      </c>
      <c r="O23" s="7">
        <f t="shared" si="5"/>
        <v>20.299999999999997</v>
      </c>
      <c r="P23" s="5">
        <f t="shared" si="6"/>
        <v>20.299999999999997</v>
      </c>
      <c r="Q23" s="83">
        <f t="shared" si="3"/>
        <v>0</v>
      </c>
      <c r="R23" s="84">
        <f t="shared" si="3"/>
        <v>0</v>
      </c>
    </row>
    <row r="24" spans="1:18" ht="15.75" thickBot="1">
      <c r="A24" s="50"/>
      <c r="B24" s="51"/>
      <c r="C24" s="51"/>
      <c r="D24" s="51"/>
      <c r="E24" s="51"/>
      <c r="F24" s="51"/>
      <c r="G24" s="51"/>
      <c r="H24" s="52" t="s">
        <v>76</v>
      </c>
      <c r="I24" s="34">
        <f>SUM(I16:I23)</f>
        <v>3420</v>
      </c>
      <c r="J24" s="34">
        <f>SUM(J16:J23)</f>
        <v>6840</v>
      </c>
      <c r="K24" s="35"/>
      <c r="L24" s="36">
        <f>SUM(L16:L23)</f>
        <v>3096.019090658902</v>
      </c>
      <c r="M24" s="36">
        <f>SUM(M16:M23)</f>
        <v>217.18549035672442</v>
      </c>
      <c r="N24" s="37"/>
      <c r="O24" s="38">
        <f>O16</f>
        <v>128.35</v>
      </c>
      <c r="P24" s="36">
        <f>P23</f>
        <v>20.299999999999997</v>
      </c>
      <c r="Q24" s="37"/>
      <c r="R24" s="39"/>
    </row>
    <row r="25" spans="1:8" ht="15">
      <c r="A25"/>
      <c r="H25" s="16"/>
    </row>
    <row r="28" ht="15">
      <c r="A28"/>
    </row>
    <row r="29" ht="15">
      <c r="A29"/>
    </row>
    <row r="30" ht="15">
      <c r="A30"/>
    </row>
  </sheetData>
  <sheetProtection/>
  <mergeCells count="10">
    <mergeCell ref="O12:P12"/>
    <mergeCell ref="O13:P13"/>
    <mergeCell ref="B15:H15"/>
    <mergeCell ref="A1:H1"/>
    <mergeCell ref="B2:H2"/>
    <mergeCell ref="J2:L2"/>
    <mergeCell ref="J9:K9"/>
    <mergeCell ref="O9:P9"/>
    <mergeCell ref="B11:H11"/>
    <mergeCell ref="O11:P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3.8515625" style="1" bestFit="1" customWidth="1"/>
    <col min="2" max="2" width="8.7109375" style="0" customWidth="1"/>
    <col min="3" max="6" width="9.57421875" style="0" bestFit="1" customWidth="1"/>
    <col min="7" max="8" width="8.7109375" style="0" customWidth="1"/>
    <col min="9" max="9" width="8.8515625" style="0" customWidth="1"/>
    <col min="10" max="10" width="9.57421875" style="0" bestFit="1" customWidth="1"/>
    <col min="11" max="11" width="7.421875" style="15" bestFit="1" customWidth="1"/>
    <col min="12" max="12" width="9.57421875" style="0" bestFit="1" customWidth="1"/>
    <col min="13" max="14" width="10.00390625" style="0" bestFit="1" customWidth="1"/>
    <col min="15" max="15" width="9.57421875" style="0" bestFit="1" customWidth="1"/>
    <col min="16" max="16" width="10.00390625" style="0" bestFit="1" customWidth="1"/>
    <col min="17" max="17" width="7.00390625" style="0" bestFit="1" customWidth="1"/>
    <col min="18" max="18" width="8.57421875" style="0" bestFit="1" customWidth="1"/>
  </cols>
  <sheetData>
    <row r="1" spans="1:9" ht="15.75" thickBot="1">
      <c r="A1" s="115" t="s">
        <v>90</v>
      </c>
      <c r="B1" s="117"/>
      <c r="C1" s="117"/>
      <c r="D1" s="117"/>
      <c r="E1" s="117"/>
      <c r="F1" s="117"/>
      <c r="G1" s="117"/>
      <c r="H1" s="118"/>
      <c r="I1" s="18"/>
    </row>
    <row r="2" spans="1:16" ht="15.75" thickBot="1">
      <c r="A2" s="49"/>
      <c r="B2" s="105" t="s">
        <v>87</v>
      </c>
      <c r="C2" s="105"/>
      <c r="D2" s="105"/>
      <c r="E2" s="105"/>
      <c r="F2" s="105"/>
      <c r="G2" s="105"/>
      <c r="H2" s="119"/>
      <c r="I2" s="18"/>
      <c r="J2" s="106" t="s">
        <v>8</v>
      </c>
      <c r="K2" s="108"/>
      <c r="L2" s="107"/>
      <c r="O2" s="77" t="s">
        <v>75</v>
      </c>
      <c r="P2" s="76">
        <v>45</v>
      </c>
    </row>
    <row r="3" spans="1:16" ht="15.75" thickBot="1">
      <c r="A3" s="43" t="s">
        <v>1</v>
      </c>
      <c r="B3" s="40">
        <f>LOOKUP(B$14,Engines!$R:$R,Engines!$E:$E)</f>
        <v>3</v>
      </c>
      <c r="C3" s="41">
        <f>LOOKUP(C$14,Engines!$R:$R,Engines!$E:$E)</f>
        <v>4.5</v>
      </c>
      <c r="D3" s="41">
        <f>LOOKUP(D$14,Engines!$R:$R,Engines!$E:$E)</f>
        <v>1.5</v>
      </c>
      <c r="E3" s="41">
        <f>LOOKUP(E$14,Engines!$R:$R,Engines!$E:$E)</f>
        <v>1.75</v>
      </c>
      <c r="F3" s="41">
        <f>LOOKUP(F$14,Engines!$R:$R,Engines!$E:$E)</f>
        <v>0.9</v>
      </c>
      <c r="G3" s="41">
        <f>LOOKUP(G$14,Engines!$R:$R,Engines!$E:$E)</f>
        <v>0</v>
      </c>
      <c r="H3" s="42">
        <f>LOOKUP(H$14,Engines!$R:$R,Engines!$E:$E)</f>
        <v>0</v>
      </c>
      <c r="I3" s="18"/>
      <c r="J3" s="59" t="s">
        <v>94</v>
      </c>
      <c r="K3" s="62" t="s">
        <v>95</v>
      </c>
      <c r="L3" s="63" t="s">
        <v>33</v>
      </c>
      <c r="O3" s="74" t="s">
        <v>1</v>
      </c>
      <c r="P3" s="70">
        <f>O16-P2</f>
        <v>205.15</v>
      </c>
    </row>
    <row r="4" spans="1:16" ht="15">
      <c r="A4" s="43" t="s">
        <v>2</v>
      </c>
      <c r="B4" s="29">
        <f>IF(B13,LOOKUP(B$14,Engines!$R:$R,Engines!$O:$O),LOOKUP(B$14,Engines!$R:$R,Engines!$P:$P))</f>
        <v>280</v>
      </c>
      <c r="C4" s="9">
        <f>IF(C13,LOOKUP(C$14,Engines!$R:$R,Engines!$O:$O),LOOKUP(C$14,Engines!$R:$R,Engines!$P:$P))</f>
        <v>195</v>
      </c>
      <c r="D4" s="9">
        <f>IF(D13,LOOKUP(D$14,Engines!$R:$R,Engines!$O:$O),LOOKUP(D$14,Engines!$R:$R,Engines!$P:$P))</f>
        <v>175</v>
      </c>
      <c r="E4" s="9">
        <f>IF(E13,LOOKUP(E$14,Engines!$R:$R,Engines!$O:$O),LOOKUP(E$14,Engines!$R:$R,Engines!$P:$P))</f>
        <v>350</v>
      </c>
      <c r="F4" s="9">
        <f>IF(F13,LOOKUP(F$14,Engines!$R:$R,Engines!$O:$O),LOOKUP(F$14,Engines!$R:$R,Engines!$P:$P))</f>
        <v>305</v>
      </c>
      <c r="G4" s="9">
        <f>IF(G13,LOOKUP(G$14,Engines!$R:$R,Engines!$O:$O),LOOKUP(G$14,Engines!$R:$R,Engines!$P:$P))</f>
        <v>0</v>
      </c>
      <c r="H4" s="10">
        <f>IF(H13,LOOKUP(H$14,Engines!$R:$R,Engines!$O:$O),LOOKUP(H$14,Engines!$R:$R,Engines!$P:$P))</f>
        <v>0</v>
      </c>
      <c r="I4" s="18"/>
      <c r="J4" s="60" t="s">
        <v>84</v>
      </c>
      <c r="K4" s="78">
        <f>9/720</f>
        <v>0.0125</v>
      </c>
      <c r="L4" s="79">
        <f>800/360</f>
        <v>2.2222222222222223</v>
      </c>
      <c r="O4" s="74" t="s">
        <v>79</v>
      </c>
      <c r="P4" s="71">
        <f>L24</f>
        <v>3106.679637186788</v>
      </c>
    </row>
    <row r="5" spans="1:16" ht="15.75" thickBot="1">
      <c r="A5" s="43" t="s">
        <v>5</v>
      </c>
      <c r="B5" s="29">
        <f>IF(B13,LOOKUP(B$14,Engines!$R:$R,Engines!$J:$J),LOOKUP(B$14,Engines!$R:$R,Engines!$K:$K))</f>
        <v>568.75</v>
      </c>
      <c r="C5" s="9">
        <f>IF(C13,LOOKUP(C$14,Engines!$R:$R,Engines!$J:$J),LOOKUP(C$14,Engines!$R:$R,Engines!$K:$K))</f>
        <v>593.86</v>
      </c>
      <c r="D5" s="9">
        <f>IF(D13,LOOKUP(D$14,Engines!$R:$R,Engines!$J:$J),LOOKUP(D$14,Engines!$R:$R,Engines!$K:$K))</f>
        <v>250</v>
      </c>
      <c r="E5" s="9">
        <f>IF(E13,LOOKUP(E$14,Engines!$R:$R,Engines!$J:$J),LOOKUP(E$14,Engines!$R:$R,Engines!$K:$K))</f>
        <v>250</v>
      </c>
      <c r="F5" s="9">
        <f>IF(F13,LOOKUP(F$14,Engines!$R:$R,Engines!$J:$J),LOOKUP(F$14,Engines!$R:$R,Engines!$K:$K))</f>
        <v>120</v>
      </c>
      <c r="G5" s="9">
        <f>IF(G13,LOOKUP(G$14,Engines!$R:$R,Engines!$J:$J),LOOKUP(G$14,Engines!$R:$R,Engines!$K:$K))</f>
        <v>0</v>
      </c>
      <c r="H5" s="10">
        <f>IF(H13,LOOKUP(H$14,Engines!$R:$R,Engines!$J:$J),LOOKUP(H$14,Engines!$R:$R,Engines!$K:$K))</f>
        <v>0</v>
      </c>
      <c r="I5" s="18"/>
      <c r="J5" s="61" t="s">
        <v>85</v>
      </c>
      <c r="K5" s="80">
        <v>0.0075</v>
      </c>
      <c r="L5" s="81">
        <f>(2700-1140)/2600</f>
        <v>0.6</v>
      </c>
      <c r="O5" s="74" t="s">
        <v>78</v>
      </c>
      <c r="P5" s="72">
        <f>P6/$P$2</f>
        <v>783.1111111111111</v>
      </c>
    </row>
    <row r="6" spans="1:16" ht="15.75" thickBot="1">
      <c r="A6" s="43" t="s">
        <v>59</v>
      </c>
      <c r="B6" s="29">
        <f>LOOKUP(B$14,Engines!$R:$R,Engines!$N:$N)</f>
        <v>41.426</v>
      </c>
      <c r="C6" s="9">
        <f>LOOKUP(C$14,Engines!$R:$R,Engines!$N:$N)</f>
        <v>41.40127388535032</v>
      </c>
      <c r="D6" s="9">
        <f>LOOKUP(D$14,Engines!$R:$R,Engines!$N:$N)</f>
        <v>19.43127962085308</v>
      </c>
      <c r="E6" s="9">
        <f>LOOKUP(E$14,Engines!$R:$R,Engines!$N:$N)</f>
        <v>14.568</v>
      </c>
      <c r="F6" s="9">
        <f>LOOKUP(F$14,Engines!$R:$R,Engines!$N:$N)</f>
        <v>8.024</v>
      </c>
      <c r="G6" s="9">
        <f>LOOKUP(G$14,Engines!$R:$R,Engines!$N:$N)</f>
        <v>0</v>
      </c>
      <c r="H6" s="10">
        <f>LOOKUP(H$14,Engines!$R:$R,Engines!$N:$N)</f>
        <v>0</v>
      </c>
      <c r="I6" s="18"/>
      <c r="J6" s="18"/>
      <c r="K6" s="18"/>
      <c r="L6" s="18"/>
      <c r="O6" s="75" t="s">
        <v>33</v>
      </c>
      <c r="P6" s="73">
        <f>SUMPRODUCT($B$12:$H$12,$B$9:$H$9)+($I$24*$L$4)</f>
        <v>35240</v>
      </c>
    </row>
    <row r="7" spans="1:16" ht="15">
      <c r="A7" s="43" t="s">
        <v>126</v>
      </c>
      <c r="B7" s="29">
        <f>LOOKUP(B$14,Engines!$R:$R,Engines!$I:$I)</f>
        <v>0</v>
      </c>
      <c r="C7" s="9">
        <f>LOOKUP(C$14,Engines!$R:$R,Engines!$I:$I)</f>
        <v>2600</v>
      </c>
      <c r="D7" s="9">
        <f>LOOKUP(D$14,Engines!$R:$R,Engines!$I:$I)</f>
        <v>820</v>
      </c>
      <c r="E7" s="9">
        <f>LOOKUP(E$14,Engines!$R:$R,Engines!$I:$I)</f>
        <v>0</v>
      </c>
      <c r="F7" s="9">
        <f>LOOKUP(F$14,Engines!$R:$R,Engines!$I:$I)</f>
        <v>0</v>
      </c>
      <c r="G7" s="9">
        <f>LOOKUP(G$14,Engines!$R:$R,Engines!$I:$I)</f>
        <v>0</v>
      </c>
      <c r="H7" s="10">
        <f>LOOKUP(H$14,Engines!$R:$R,Engines!$I:$I)</f>
        <v>0</v>
      </c>
      <c r="I7" s="18"/>
      <c r="J7" s="18"/>
      <c r="K7" s="18"/>
      <c r="L7" s="97"/>
      <c r="O7" s="90"/>
      <c r="P7" s="91"/>
    </row>
    <row r="8" spans="1:12" ht="15.75" thickBot="1">
      <c r="A8" s="43" t="s">
        <v>86</v>
      </c>
      <c r="B8" s="85">
        <f>LOOKUP(B$14,Engines!$R:$R,Engines!$T:$T)</f>
        <v>1</v>
      </c>
      <c r="C8" s="86">
        <f>LOOKUP(C$14,Engines!$R:$R,Engines!$T:$T)</f>
        <v>0</v>
      </c>
      <c r="D8" s="89">
        <f>LOOKUP(D$14,Engines!$R:$R,Engines!$T:$T)</f>
        <v>0</v>
      </c>
      <c r="E8" s="86">
        <f>LOOKUP(E$14,Engines!$R:$R,Engines!$T:$T)</f>
        <v>1</v>
      </c>
      <c r="F8" s="86">
        <f>LOOKUP(F$14,Engines!$R:$R,Engines!$T:$T)</f>
        <v>1</v>
      </c>
      <c r="G8" s="86">
        <f>LOOKUP(G$14,Engines!$R:$R,Engines!$T:$T)</f>
        <v>0</v>
      </c>
      <c r="H8" s="87">
        <f>LOOKUP(H$14,Engines!$R:$R,Engines!$T:$T)</f>
        <v>0</v>
      </c>
      <c r="I8" s="18"/>
      <c r="J8" s="18"/>
      <c r="K8" s="18"/>
      <c r="L8" s="18"/>
    </row>
    <row r="9" spans="1:16" ht="15.75" thickBot="1">
      <c r="A9" s="43" t="s">
        <v>77</v>
      </c>
      <c r="B9" s="29">
        <f>LOOKUP(B$14,Engines!$R:$R,Engines!$C:$C)</f>
        <v>5300</v>
      </c>
      <c r="C9" s="9">
        <f>LOOKUP(C$14,Engines!$R:$R,Engines!$C:$C)</f>
        <v>2700</v>
      </c>
      <c r="D9" s="9">
        <f>LOOKUP(D$14,Engines!$R:$R,Engines!$C:$C)</f>
        <v>850</v>
      </c>
      <c r="E9" s="9">
        <f>LOOKUP(E$14,Engines!$R:$R,Engines!$C:$C)</f>
        <v>1300</v>
      </c>
      <c r="F9" s="9">
        <f>LOOKUP(F$14,Engines!$R:$R,Engines!$C:$C)</f>
        <v>820</v>
      </c>
      <c r="G9" s="9">
        <f>LOOKUP(G$14,Engines!$R:$R,Engines!$C:$C)</f>
        <v>0</v>
      </c>
      <c r="H9" s="10">
        <f>LOOKUP(H$14,Engines!$R:$R,Engines!$C:$C)</f>
        <v>0</v>
      </c>
      <c r="I9" s="19"/>
      <c r="J9" s="106" t="s">
        <v>80</v>
      </c>
      <c r="K9" s="107"/>
      <c r="L9" s="19"/>
      <c r="O9" s="115" t="s">
        <v>80</v>
      </c>
      <c r="P9" s="116"/>
    </row>
    <row r="10" spans="1:16" ht="15.75" thickBot="1">
      <c r="A10" s="48" t="s">
        <v>128</v>
      </c>
      <c r="B10" s="101">
        <f>(B5*B12)/SUMPRODUCT($B$5:$H$5,$B$12:$H$12)</f>
        <v>0.12826468870301</v>
      </c>
      <c r="C10" s="102">
        <f aca="true" t="shared" si="0" ref="C10:H10">(C5*C12)/SUMPRODUCT($B$5:$H$5,$B$12:$H$12)</f>
        <v>0.5357100169365768</v>
      </c>
      <c r="D10" s="102">
        <f t="shared" si="0"/>
        <v>0.2255203317855121</v>
      </c>
      <c r="E10" s="102">
        <f t="shared" si="0"/>
        <v>0.05638008294637802</v>
      </c>
      <c r="F10" s="102">
        <f t="shared" si="0"/>
        <v>0.0541248796285229</v>
      </c>
      <c r="G10" s="102">
        <f t="shared" si="0"/>
        <v>0</v>
      </c>
      <c r="H10" s="103">
        <f t="shared" si="0"/>
        <v>0</v>
      </c>
      <c r="I10" s="19"/>
      <c r="J10" s="98"/>
      <c r="K10" s="99"/>
      <c r="L10" s="19"/>
      <c r="O10" s="49"/>
      <c r="P10" s="100"/>
    </row>
    <row r="11" spans="1:16" ht="15.75" thickBot="1">
      <c r="A11" s="48"/>
      <c r="B11" s="120" t="s">
        <v>88</v>
      </c>
      <c r="C11" s="120"/>
      <c r="D11" s="120"/>
      <c r="E11" s="120"/>
      <c r="F11" s="120"/>
      <c r="G11" s="120"/>
      <c r="H11" s="121"/>
      <c r="I11" s="19"/>
      <c r="J11" s="67" t="s">
        <v>81</v>
      </c>
      <c r="K11" s="64">
        <v>1</v>
      </c>
      <c r="L11" s="19"/>
      <c r="O11" s="109" t="s">
        <v>92</v>
      </c>
      <c r="P11" s="110"/>
    </row>
    <row r="12" spans="1:16" s="2" customFormat="1" ht="15">
      <c r="A12" s="25" t="s">
        <v>72</v>
      </c>
      <c r="B12" s="30">
        <v>1</v>
      </c>
      <c r="C12" s="6">
        <v>4</v>
      </c>
      <c r="D12" s="6">
        <v>4</v>
      </c>
      <c r="E12" s="6">
        <v>1</v>
      </c>
      <c r="F12" s="6">
        <v>2</v>
      </c>
      <c r="G12" s="6">
        <v>0</v>
      </c>
      <c r="H12" s="20">
        <v>0</v>
      </c>
      <c r="I12" s="19"/>
      <c r="J12" s="68" t="s">
        <v>83</v>
      </c>
      <c r="K12" s="65">
        <v>-1</v>
      </c>
      <c r="O12" s="111" t="s">
        <v>93</v>
      </c>
      <c r="P12" s="112"/>
    </row>
    <row r="13" spans="1:16" s="2" customFormat="1" ht="15.75" thickBot="1">
      <c r="A13" s="25" t="s">
        <v>127</v>
      </c>
      <c r="B13" s="30">
        <v>1</v>
      </c>
      <c r="C13" s="6">
        <v>1</v>
      </c>
      <c r="D13" s="6">
        <v>1</v>
      </c>
      <c r="E13" s="6">
        <v>0</v>
      </c>
      <c r="F13" s="6">
        <v>0</v>
      </c>
      <c r="G13" s="6">
        <v>0</v>
      </c>
      <c r="H13" s="20">
        <v>0</v>
      </c>
      <c r="I13" s="19"/>
      <c r="J13" s="69" t="s">
        <v>82</v>
      </c>
      <c r="K13" s="66">
        <v>0</v>
      </c>
      <c r="M13" s="96"/>
      <c r="O13" s="113" t="s">
        <v>91</v>
      </c>
      <c r="P13" s="114"/>
    </row>
    <row r="14" spans="1:8" s="16" customFormat="1" ht="15.75" thickBot="1">
      <c r="A14" s="25" t="s">
        <v>0</v>
      </c>
      <c r="B14" s="93" t="s">
        <v>6</v>
      </c>
      <c r="C14" s="94" t="s">
        <v>69</v>
      </c>
      <c r="D14" s="94" t="s">
        <v>113</v>
      </c>
      <c r="E14" s="94" t="s">
        <v>45</v>
      </c>
      <c r="F14" s="32" t="s">
        <v>7</v>
      </c>
      <c r="G14" s="94" t="s">
        <v>3</v>
      </c>
      <c r="H14" s="95" t="s">
        <v>3</v>
      </c>
    </row>
    <row r="15" spans="1:18" s="16" customFormat="1" ht="15.75" thickBot="1">
      <c r="A15" s="44"/>
      <c r="B15" s="105" t="s">
        <v>89</v>
      </c>
      <c r="C15" s="105"/>
      <c r="D15" s="105"/>
      <c r="E15" s="105"/>
      <c r="F15" s="105"/>
      <c r="G15" s="105"/>
      <c r="H15" s="105"/>
      <c r="I15" s="53" t="s">
        <v>84</v>
      </c>
      <c r="J15" s="104" t="s">
        <v>85</v>
      </c>
      <c r="K15" s="55" t="s">
        <v>73</v>
      </c>
      <c r="L15" s="56" t="s">
        <v>11</v>
      </c>
      <c r="M15" s="57" t="s">
        <v>58</v>
      </c>
      <c r="N15" s="57" t="s">
        <v>2</v>
      </c>
      <c r="O15" s="57" t="s">
        <v>9</v>
      </c>
      <c r="P15" s="57" t="s">
        <v>10</v>
      </c>
      <c r="Q15" s="57" t="s">
        <v>56</v>
      </c>
      <c r="R15" s="58" t="s">
        <v>57</v>
      </c>
    </row>
    <row r="16" spans="1:18" ht="15">
      <c r="A16" s="26"/>
      <c r="B16" s="8">
        <v>1</v>
      </c>
      <c r="C16" s="8">
        <v>1</v>
      </c>
      <c r="D16" s="8">
        <v>1</v>
      </c>
      <c r="E16" s="8">
        <v>0</v>
      </c>
      <c r="F16" s="8">
        <v>1</v>
      </c>
      <c r="G16" s="8">
        <v>0</v>
      </c>
      <c r="H16" s="17">
        <v>0</v>
      </c>
      <c r="I16" s="11">
        <f>2880</f>
        <v>2880</v>
      </c>
      <c r="J16" s="92">
        <f>SUMPRODUCT(--(B16:H16&gt;0),B16:H16,$B$7:$H$7,$B$12:$H$12)</f>
        <v>13680</v>
      </c>
      <c r="K16" s="45">
        <v>1</v>
      </c>
      <c r="L16" s="14">
        <f aca="true" t="shared" si="1" ref="L16:L23">LN(O16/P16)*9.81*N16*K16</f>
        <v>1576.6123141708215</v>
      </c>
      <c r="M16" s="5">
        <f>IF(SUMPRODUCT(--(B16:H16&gt;0),--($B$8:$H$8),B16:H16),I16/SUMPRODUCT(--(B16:H16&gt;0),--($B$8:$H$8),$B$12:$H$12,$B$6:$H$6),0)*2</f>
        <v>100.21922956467272</v>
      </c>
      <c r="N16" s="5">
        <f aca="true" t="shared" si="2" ref="N16:N23">IF(SUMPRODUCT(--(B16:H16&gt;0),B16:H16),SUMPRODUCT(--(B16:H16&gt;0),B16:H16,B$5:H$5,B$4:H$4,$B$12:$H$12)/SUMPRODUCT(--(B16:H16&gt;0),B$5:H$5,B16:H16,$B$12:$H$12),0)</f>
        <v>208.08347613277598</v>
      </c>
      <c r="O16" s="7">
        <f>P2+SUMPRODUCT(B12:H12,B3:H3)+(SUM($I16:$I$23)*$K$4)+(SUM($J16:$J$23)*$K$5)</f>
        <v>250.15</v>
      </c>
      <c r="P16" s="5">
        <f>$O16-(32/36)*($I16*$K$4)-J16*$K$5</f>
        <v>115.55000000000001</v>
      </c>
      <c r="Q16" s="7">
        <f aca="true" t="shared" si="3" ref="Q16:R23">SUMPRODUCT(--($B16:$H16&gt;0),$B$12:$H$12,$B$5:$H$5)/(O16*9.81)</f>
        <v>1.7050687018981272</v>
      </c>
      <c r="R16" s="82">
        <f t="shared" si="3"/>
        <v>3.6912413308508567</v>
      </c>
    </row>
    <row r="17" spans="1:18" ht="15">
      <c r="A17" s="27"/>
      <c r="B17" s="3">
        <v>-1</v>
      </c>
      <c r="C17" s="3">
        <v>-1</v>
      </c>
      <c r="D17" s="3">
        <v>-1</v>
      </c>
      <c r="E17" s="3">
        <v>1</v>
      </c>
      <c r="F17" s="3">
        <v>1</v>
      </c>
      <c r="G17" s="3">
        <v>0</v>
      </c>
      <c r="H17" s="12">
        <v>0</v>
      </c>
      <c r="I17" s="13">
        <f>2880</f>
        <v>2880</v>
      </c>
      <c r="J17" s="92">
        <f>SUMPRODUCT(--(B17:H17&gt;0),B17:H17,$B$7:$H$7,$B$12:$H$12)</f>
        <v>0</v>
      </c>
      <c r="K17" s="46">
        <v>1</v>
      </c>
      <c r="L17" s="14">
        <f t="shared" si="1"/>
        <v>1530.0673230159666</v>
      </c>
      <c r="M17" s="5">
        <f aca="true" t="shared" si="4" ref="M17:M23">IF(SUMPRODUCT(--(B17:H17&gt;0),--($B$8:$H$8),B17:H17),I17/SUMPRODUCT(--(B17:H17&gt;0),--($B$8:$H$8),$B$12:$H$12,$B$6:$H$6),0)*2</f>
        <v>188.13692187091718</v>
      </c>
      <c r="N17" s="5">
        <f t="shared" si="2"/>
        <v>327.9591836734694</v>
      </c>
      <c r="O17" s="7">
        <f aca="true" t="shared" si="5" ref="O17:O23">O16-SUMPRODUCT(--(B17:H17&lt;0),$B$12:$H$12,$B$3:$H$3)-I16*$K$4-J16*$K$5</f>
        <v>84.55000000000001</v>
      </c>
      <c r="P17" s="5">
        <f aca="true" t="shared" si="6" ref="P17:P23">$O17-(32/36)*($I17*$K$4)-J17*$K$5</f>
        <v>52.55000000000001</v>
      </c>
      <c r="Q17" s="7">
        <f t="shared" si="3"/>
        <v>0.5907632359598787</v>
      </c>
      <c r="R17" s="82">
        <f t="shared" si="3"/>
        <v>0.9505048829763604</v>
      </c>
    </row>
    <row r="18" spans="1:18" ht="15">
      <c r="A18" s="27"/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12">
        <v>0</v>
      </c>
      <c r="I18" s="13">
        <v>0</v>
      </c>
      <c r="J18" s="92">
        <f aca="true" t="shared" si="7" ref="J18:J23">SUMPRODUCT(--(B18:H18&gt;0),B18:H18,$B$7:$H$7,$B$12:$H$12)</f>
        <v>0</v>
      </c>
      <c r="K18" s="46">
        <v>1</v>
      </c>
      <c r="L18" s="14">
        <f t="shared" si="1"/>
        <v>0</v>
      </c>
      <c r="M18" s="5">
        <f t="shared" si="4"/>
        <v>0</v>
      </c>
      <c r="N18" s="5">
        <f t="shared" si="2"/>
        <v>0</v>
      </c>
      <c r="O18" s="7">
        <f t="shared" si="5"/>
        <v>48.55000000000001</v>
      </c>
      <c r="P18" s="5">
        <f t="shared" si="6"/>
        <v>48.55000000000001</v>
      </c>
      <c r="Q18" s="7">
        <f t="shared" si="3"/>
        <v>0</v>
      </c>
      <c r="R18" s="82">
        <f t="shared" si="3"/>
        <v>0</v>
      </c>
    </row>
    <row r="19" spans="1:18" ht="15">
      <c r="A19" s="27"/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2">
        <v>0</v>
      </c>
      <c r="I19" s="13">
        <v>0</v>
      </c>
      <c r="J19" s="92">
        <f t="shared" si="7"/>
        <v>0</v>
      </c>
      <c r="K19" s="46">
        <v>1</v>
      </c>
      <c r="L19" s="14">
        <f t="shared" si="1"/>
        <v>0</v>
      </c>
      <c r="M19" s="5">
        <f t="shared" si="4"/>
        <v>0</v>
      </c>
      <c r="N19" s="5">
        <f t="shared" si="2"/>
        <v>0</v>
      </c>
      <c r="O19" s="7">
        <f t="shared" si="5"/>
        <v>48.55000000000001</v>
      </c>
      <c r="P19" s="5">
        <f t="shared" si="6"/>
        <v>48.55000000000001</v>
      </c>
      <c r="Q19" s="7">
        <f t="shared" si="3"/>
        <v>0</v>
      </c>
      <c r="R19" s="82">
        <f t="shared" si="3"/>
        <v>0</v>
      </c>
    </row>
    <row r="20" spans="1:18" ht="15">
      <c r="A20" s="27"/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2">
        <v>0</v>
      </c>
      <c r="I20" s="13">
        <v>0</v>
      </c>
      <c r="J20" s="92">
        <f t="shared" si="7"/>
        <v>0</v>
      </c>
      <c r="K20" s="46">
        <v>1</v>
      </c>
      <c r="L20" s="14">
        <f t="shared" si="1"/>
        <v>0</v>
      </c>
      <c r="M20" s="5">
        <f t="shared" si="4"/>
        <v>0</v>
      </c>
      <c r="N20" s="5">
        <f t="shared" si="2"/>
        <v>0</v>
      </c>
      <c r="O20" s="7">
        <f t="shared" si="5"/>
        <v>48.55000000000001</v>
      </c>
      <c r="P20" s="5">
        <f t="shared" si="6"/>
        <v>48.55000000000001</v>
      </c>
      <c r="Q20" s="7">
        <f t="shared" si="3"/>
        <v>0</v>
      </c>
      <c r="R20" s="82">
        <f t="shared" si="3"/>
        <v>0</v>
      </c>
    </row>
    <row r="21" spans="1:18" ht="15">
      <c r="A21" s="27"/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2">
        <v>0</v>
      </c>
      <c r="I21" s="13">
        <v>0</v>
      </c>
      <c r="J21" s="92">
        <f t="shared" si="7"/>
        <v>0</v>
      </c>
      <c r="K21" s="46">
        <v>1</v>
      </c>
      <c r="L21" s="14">
        <f t="shared" si="1"/>
        <v>0</v>
      </c>
      <c r="M21" s="5">
        <f t="shared" si="4"/>
        <v>0</v>
      </c>
      <c r="N21" s="5">
        <f t="shared" si="2"/>
        <v>0</v>
      </c>
      <c r="O21" s="7">
        <f t="shared" si="5"/>
        <v>48.55000000000001</v>
      </c>
      <c r="P21" s="5">
        <f t="shared" si="6"/>
        <v>48.55000000000001</v>
      </c>
      <c r="Q21" s="7">
        <f t="shared" si="3"/>
        <v>0</v>
      </c>
      <c r="R21" s="82">
        <f t="shared" si="3"/>
        <v>0</v>
      </c>
    </row>
    <row r="22" spans="1:18" ht="15">
      <c r="A22" s="27"/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2">
        <v>0</v>
      </c>
      <c r="I22" s="13">
        <v>0</v>
      </c>
      <c r="J22" s="92">
        <f t="shared" si="7"/>
        <v>0</v>
      </c>
      <c r="K22" s="46">
        <v>1</v>
      </c>
      <c r="L22" s="14">
        <f t="shared" si="1"/>
        <v>0</v>
      </c>
      <c r="M22" s="5">
        <f t="shared" si="4"/>
        <v>0</v>
      </c>
      <c r="N22" s="5">
        <f t="shared" si="2"/>
        <v>0</v>
      </c>
      <c r="O22" s="7">
        <f t="shared" si="5"/>
        <v>48.55000000000001</v>
      </c>
      <c r="P22" s="5">
        <f t="shared" si="6"/>
        <v>48.55000000000001</v>
      </c>
      <c r="Q22" s="7">
        <f t="shared" si="3"/>
        <v>0</v>
      </c>
      <c r="R22" s="82">
        <f t="shared" si="3"/>
        <v>0</v>
      </c>
    </row>
    <row r="23" spans="1:18" ht="15.75" thickBot="1">
      <c r="A23" s="28"/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13">
        <v>0</v>
      </c>
      <c r="J23" s="92">
        <f t="shared" si="7"/>
        <v>0</v>
      </c>
      <c r="K23" s="47">
        <v>1</v>
      </c>
      <c r="L23" s="23">
        <f t="shared" si="1"/>
        <v>0</v>
      </c>
      <c r="M23" s="5">
        <f t="shared" si="4"/>
        <v>0</v>
      </c>
      <c r="N23" s="24">
        <f t="shared" si="2"/>
        <v>0</v>
      </c>
      <c r="O23" s="7">
        <f t="shared" si="5"/>
        <v>48.55000000000001</v>
      </c>
      <c r="P23" s="5">
        <f t="shared" si="6"/>
        <v>48.55000000000001</v>
      </c>
      <c r="Q23" s="83">
        <f t="shared" si="3"/>
        <v>0</v>
      </c>
      <c r="R23" s="84">
        <f t="shared" si="3"/>
        <v>0</v>
      </c>
    </row>
    <row r="24" spans="1:18" ht="15.75" thickBot="1">
      <c r="A24" s="50"/>
      <c r="B24" s="51"/>
      <c r="C24" s="51"/>
      <c r="D24" s="51"/>
      <c r="E24" s="51"/>
      <c r="F24" s="51"/>
      <c r="G24" s="51"/>
      <c r="H24" s="52" t="s">
        <v>76</v>
      </c>
      <c r="I24" s="34">
        <f>SUM(I16:I23)</f>
        <v>5760</v>
      </c>
      <c r="J24" s="34">
        <f>SUM(J16:J23)</f>
        <v>13680</v>
      </c>
      <c r="K24" s="35"/>
      <c r="L24" s="36">
        <f>SUM(L16:L23)</f>
        <v>3106.679637186788</v>
      </c>
      <c r="M24" s="36">
        <f>SUM(M16:M23)</f>
        <v>288.3561514355899</v>
      </c>
      <c r="N24" s="37"/>
      <c r="O24" s="38">
        <f>O16</f>
        <v>250.15</v>
      </c>
      <c r="P24" s="36">
        <f>P23</f>
        <v>48.55000000000001</v>
      </c>
      <c r="Q24" s="37"/>
      <c r="R24" s="39"/>
    </row>
    <row r="25" spans="1:8" ht="15">
      <c r="A25"/>
      <c r="H25" s="16"/>
    </row>
    <row r="28" ht="15">
      <c r="A28"/>
    </row>
    <row r="29" ht="15">
      <c r="A29"/>
    </row>
    <row r="30" ht="15">
      <c r="A30"/>
    </row>
  </sheetData>
  <sheetProtection/>
  <mergeCells count="10">
    <mergeCell ref="O12:P12"/>
    <mergeCell ref="O13:P13"/>
    <mergeCell ref="B15:H15"/>
    <mergeCell ref="A1:H1"/>
    <mergeCell ref="B2:H2"/>
    <mergeCell ref="J2:L2"/>
    <mergeCell ref="J9:K9"/>
    <mergeCell ref="O9:P9"/>
    <mergeCell ref="B11:H11"/>
    <mergeCell ref="O11:P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33" sqref="A33"/>
    </sheetView>
  </sheetViews>
  <sheetFormatPr defaultColWidth="9.140625" defaultRowHeight="15" customHeight="1"/>
  <cols>
    <col min="1" max="1" width="45.00390625" style="0" bestFit="1" customWidth="1"/>
    <col min="20" max="20" width="4.28125" style="0" bestFit="1" customWidth="1"/>
    <col min="21" max="21" width="5.421875" style="0" bestFit="1" customWidth="1"/>
  </cols>
  <sheetData>
    <row r="1" spans="1:22" ht="15" customHeight="1">
      <c r="A1" t="s">
        <v>34</v>
      </c>
      <c r="B1" t="s">
        <v>35</v>
      </c>
      <c r="C1" t="s">
        <v>33</v>
      </c>
      <c r="D1" t="s">
        <v>1</v>
      </c>
      <c r="E1" t="s">
        <v>60</v>
      </c>
      <c r="F1" t="s">
        <v>36</v>
      </c>
      <c r="G1" t="s">
        <v>37</v>
      </c>
      <c r="H1" t="s">
        <v>37</v>
      </c>
      <c r="I1" t="s">
        <v>8</v>
      </c>
      <c r="J1" t="s">
        <v>50</v>
      </c>
      <c r="K1" t="s">
        <v>51</v>
      </c>
      <c r="L1" t="s">
        <v>52</v>
      </c>
      <c r="M1" t="s">
        <v>53</v>
      </c>
      <c r="N1" t="s">
        <v>8</v>
      </c>
      <c r="O1" t="s">
        <v>54</v>
      </c>
      <c r="P1" t="s">
        <v>55</v>
      </c>
      <c r="Q1" t="s">
        <v>38</v>
      </c>
      <c r="R1" t="s">
        <v>32</v>
      </c>
      <c r="S1" t="s">
        <v>71</v>
      </c>
      <c r="T1" t="s">
        <v>84</v>
      </c>
      <c r="U1" t="s">
        <v>85</v>
      </c>
      <c r="V1" t="s">
        <v>118</v>
      </c>
    </row>
    <row r="2" spans="1:21" ht="15" customHeight="1">
      <c r="A2" t="s">
        <v>17</v>
      </c>
      <c r="B2" t="s">
        <v>96</v>
      </c>
      <c r="C2">
        <v>110</v>
      </c>
      <c r="D2">
        <v>0.02</v>
      </c>
      <c r="E2">
        <v>0.02</v>
      </c>
      <c r="F2" t="s">
        <v>14</v>
      </c>
      <c r="G2">
        <v>7</v>
      </c>
      <c r="H2">
        <v>50</v>
      </c>
      <c r="I2">
        <v>0</v>
      </c>
      <c r="J2">
        <v>0.51</v>
      </c>
      <c r="K2">
        <v>2</v>
      </c>
      <c r="L2">
        <v>2.59</v>
      </c>
      <c r="M2">
        <v>10.2</v>
      </c>
      <c r="N2">
        <v>0.129</v>
      </c>
      <c r="O2">
        <v>80</v>
      </c>
      <c r="P2">
        <v>315</v>
      </c>
      <c r="Q2">
        <v>0</v>
      </c>
      <c r="R2" t="s">
        <v>40</v>
      </c>
      <c r="S2">
        <v>0</v>
      </c>
      <c r="T2">
        <v>1</v>
      </c>
      <c r="U2">
        <v>0</v>
      </c>
    </row>
    <row r="3" spans="1:21" ht="15" customHeight="1">
      <c r="A3" t="s">
        <v>97</v>
      </c>
      <c r="B3" t="s">
        <v>98</v>
      </c>
      <c r="C3">
        <v>17000</v>
      </c>
      <c r="D3">
        <v>42.5</v>
      </c>
      <c r="E3">
        <v>42.5</v>
      </c>
      <c r="F3" t="s">
        <v>14</v>
      </c>
      <c r="G3">
        <v>20</v>
      </c>
      <c r="H3">
        <v>50</v>
      </c>
      <c r="I3">
        <v>0</v>
      </c>
      <c r="J3">
        <v>1866.67</v>
      </c>
      <c r="K3">
        <v>2000</v>
      </c>
      <c r="L3">
        <v>4.48</v>
      </c>
      <c r="M3">
        <v>4.8</v>
      </c>
      <c r="N3">
        <v>135.964</v>
      </c>
      <c r="O3">
        <v>280</v>
      </c>
      <c r="P3">
        <v>300</v>
      </c>
      <c r="Q3">
        <v>1.5</v>
      </c>
      <c r="R3" t="s">
        <v>47</v>
      </c>
      <c r="S3">
        <v>0</v>
      </c>
      <c r="T3">
        <v>1</v>
      </c>
      <c r="U3">
        <v>0</v>
      </c>
    </row>
    <row r="4" spans="1:22" ht="15" customHeight="1">
      <c r="A4" t="s">
        <v>116</v>
      </c>
      <c r="B4" t="s">
        <v>114</v>
      </c>
      <c r="C4">
        <v>2000</v>
      </c>
      <c r="D4">
        <v>2</v>
      </c>
      <c r="E4">
        <v>2</v>
      </c>
      <c r="F4">
        <v>2000</v>
      </c>
      <c r="G4">
        <v>12</v>
      </c>
      <c r="I4">
        <v>0</v>
      </c>
      <c r="J4">
        <v>374.19</v>
      </c>
      <c r="K4">
        <v>400</v>
      </c>
      <c r="N4">
        <v>26.32</v>
      </c>
      <c r="O4">
        <v>290</v>
      </c>
      <c r="P4">
        <v>310</v>
      </c>
      <c r="Q4">
        <v>5</v>
      </c>
      <c r="R4" t="s">
        <v>115</v>
      </c>
      <c r="S4">
        <v>0</v>
      </c>
      <c r="T4">
        <v>1</v>
      </c>
      <c r="U4">
        <v>0</v>
      </c>
      <c r="V4" t="s">
        <v>119</v>
      </c>
    </row>
    <row r="5" spans="1:22" ht="15" customHeight="1">
      <c r="A5" t="s">
        <v>120</v>
      </c>
      <c r="C5">
        <v>850</v>
      </c>
      <c r="D5">
        <v>1</v>
      </c>
      <c r="E5">
        <v>1</v>
      </c>
      <c r="F5">
        <v>2000</v>
      </c>
      <c r="G5">
        <v>7</v>
      </c>
      <c r="I5">
        <v>0</v>
      </c>
      <c r="J5">
        <v>52.82</v>
      </c>
      <c r="K5">
        <v>125</v>
      </c>
      <c r="N5">
        <v>7.18</v>
      </c>
      <c r="O5">
        <v>150</v>
      </c>
      <c r="P5">
        <v>355</v>
      </c>
      <c r="Q5">
        <v>4</v>
      </c>
      <c r="R5" t="s">
        <v>120</v>
      </c>
      <c r="S5">
        <v>0</v>
      </c>
      <c r="T5">
        <v>1</v>
      </c>
      <c r="U5">
        <v>0</v>
      </c>
      <c r="V5" t="s">
        <v>119</v>
      </c>
    </row>
    <row r="6" spans="1:22" ht="15" customHeight="1">
      <c r="A6" t="s">
        <v>99</v>
      </c>
      <c r="B6" s="4" t="s">
        <v>98</v>
      </c>
      <c r="C6" s="4">
        <v>18500</v>
      </c>
      <c r="D6" s="4">
        <v>144</v>
      </c>
      <c r="E6" s="4">
        <v>21</v>
      </c>
      <c r="F6" s="4" t="s">
        <v>64</v>
      </c>
      <c r="G6" s="4">
        <v>10</v>
      </c>
      <c r="H6" s="4">
        <v>50</v>
      </c>
      <c r="I6" s="4">
        <v>16400</v>
      </c>
      <c r="J6" s="4">
        <v>2948.936</v>
      </c>
      <c r="K6" s="4">
        <v>3300</v>
      </c>
      <c r="L6" s="4">
        <v>2.05</v>
      </c>
      <c r="M6" s="4">
        <v>2.29</v>
      </c>
      <c r="N6" s="4">
        <f>I6/S6</f>
        <v>190.91967403958088</v>
      </c>
      <c r="O6" s="4">
        <v>210</v>
      </c>
      <c r="P6" s="4">
        <v>235</v>
      </c>
      <c r="Q6" s="4">
        <v>0</v>
      </c>
      <c r="R6" s="4" t="s">
        <v>100</v>
      </c>
      <c r="S6" s="4">
        <v>85.9</v>
      </c>
      <c r="T6" s="4">
        <v>0</v>
      </c>
      <c r="U6">
        <v>1</v>
      </c>
      <c r="V6" t="s">
        <v>119</v>
      </c>
    </row>
    <row r="7" spans="1:22" ht="15" customHeight="1">
      <c r="A7" t="s">
        <v>124</v>
      </c>
      <c r="C7">
        <v>800</v>
      </c>
      <c r="D7">
        <v>0.18</v>
      </c>
      <c r="E7">
        <v>0.18</v>
      </c>
      <c r="F7">
        <v>2000</v>
      </c>
      <c r="G7">
        <v>7</v>
      </c>
      <c r="I7">
        <v>0</v>
      </c>
      <c r="J7">
        <v>28.9</v>
      </c>
      <c r="K7">
        <v>32</v>
      </c>
      <c r="N7">
        <v>2.11</v>
      </c>
      <c r="O7">
        <v>280</v>
      </c>
      <c r="P7">
        <v>310</v>
      </c>
      <c r="Q7">
        <v>0</v>
      </c>
      <c r="R7" t="s">
        <v>124</v>
      </c>
      <c r="S7">
        <v>0</v>
      </c>
      <c r="T7">
        <v>1</v>
      </c>
      <c r="U7">
        <v>0</v>
      </c>
      <c r="V7" t="s">
        <v>119</v>
      </c>
    </row>
    <row r="8" spans="1:21" ht="15" customHeight="1">
      <c r="A8" t="s">
        <v>101</v>
      </c>
      <c r="B8" t="s">
        <v>102</v>
      </c>
      <c r="C8">
        <v>3850</v>
      </c>
      <c r="D8">
        <v>1</v>
      </c>
      <c r="E8">
        <v>1</v>
      </c>
      <c r="F8" t="s">
        <v>14</v>
      </c>
      <c r="G8">
        <v>20</v>
      </c>
      <c r="H8">
        <v>50</v>
      </c>
      <c r="I8">
        <v>0</v>
      </c>
      <c r="J8">
        <v>153.53</v>
      </c>
      <c r="K8">
        <v>180</v>
      </c>
      <c r="L8">
        <v>15.66</v>
      </c>
      <c r="M8">
        <v>18.35</v>
      </c>
      <c r="N8">
        <v>10.797</v>
      </c>
      <c r="O8">
        <v>290</v>
      </c>
      <c r="P8">
        <v>340</v>
      </c>
      <c r="Q8">
        <v>0</v>
      </c>
      <c r="R8" t="s">
        <v>44</v>
      </c>
      <c r="S8">
        <v>0</v>
      </c>
      <c r="T8">
        <v>1</v>
      </c>
      <c r="U8">
        <v>0</v>
      </c>
    </row>
    <row r="9" spans="1:21" ht="15" customHeight="1">
      <c r="A9" t="s">
        <v>61</v>
      </c>
      <c r="B9" s="4" t="s">
        <v>102</v>
      </c>
      <c r="C9" s="4">
        <v>200</v>
      </c>
      <c r="D9" s="4">
        <v>1.5</v>
      </c>
      <c r="E9" s="4">
        <v>0.45</v>
      </c>
      <c r="F9" s="4" t="s">
        <v>14</v>
      </c>
      <c r="G9" s="4">
        <v>7</v>
      </c>
      <c r="H9" s="4">
        <v>50</v>
      </c>
      <c r="I9" s="4">
        <v>140</v>
      </c>
      <c r="J9" s="4">
        <v>162.91</v>
      </c>
      <c r="K9" s="4">
        <v>192</v>
      </c>
      <c r="L9" s="4">
        <v>11.07</v>
      </c>
      <c r="M9" s="4">
        <v>13.05</v>
      </c>
      <c r="N9" s="4">
        <f>I9/S9</f>
        <v>15.909090909090908</v>
      </c>
      <c r="O9" s="4">
        <v>140</v>
      </c>
      <c r="P9" s="4">
        <v>165</v>
      </c>
      <c r="Q9" s="4">
        <v>0</v>
      </c>
      <c r="R9" s="4" t="s">
        <v>67</v>
      </c>
      <c r="S9" s="4">
        <v>8.8</v>
      </c>
      <c r="T9" s="4">
        <v>0</v>
      </c>
      <c r="U9" s="4">
        <v>1</v>
      </c>
    </row>
    <row r="10" spans="1:21" ht="15" customHeight="1">
      <c r="A10" t="s">
        <v>62</v>
      </c>
      <c r="B10" s="4" t="s">
        <v>102</v>
      </c>
      <c r="C10" s="4">
        <v>400</v>
      </c>
      <c r="D10" s="4">
        <v>3.56</v>
      </c>
      <c r="E10" s="4">
        <v>0.75</v>
      </c>
      <c r="F10" s="4" t="s">
        <v>14</v>
      </c>
      <c r="G10" s="4">
        <v>7</v>
      </c>
      <c r="H10" s="4">
        <v>50</v>
      </c>
      <c r="I10" s="4">
        <v>375</v>
      </c>
      <c r="J10" s="4">
        <v>197.9</v>
      </c>
      <c r="K10" s="4">
        <v>227</v>
      </c>
      <c r="L10" s="4">
        <v>5.66</v>
      </c>
      <c r="M10" s="4">
        <v>6.5</v>
      </c>
      <c r="N10" s="4">
        <f>I10/S10</f>
        <v>15.822784810126583</v>
      </c>
      <c r="O10" s="4">
        <v>170</v>
      </c>
      <c r="P10" s="4">
        <v>195</v>
      </c>
      <c r="Q10" s="4">
        <v>0</v>
      </c>
      <c r="R10" s="4" t="s">
        <v>68</v>
      </c>
      <c r="S10" s="4">
        <v>23.7</v>
      </c>
      <c r="T10" s="4">
        <v>0</v>
      </c>
      <c r="U10">
        <v>1</v>
      </c>
    </row>
    <row r="11" spans="1:21" ht="15" customHeight="1">
      <c r="A11" t="s">
        <v>65</v>
      </c>
      <c r="B11" s="4" t="s">
        <v>102</v>
      </c>
      <c r="C11" s="4">
        <v>2700</v>
      </c>
      <c r="D11" s="4">
        <v>24</v>
      </c>
      <c r="E11" s="4">
        <v>4.5</v>
      </c>
      <c r="F11" s="4" t="s">
        <v>64</v>
      </c>
      <c r="G11" s="4">
        <v>7</v>
      </c>
      <c r="H11" s="4">
        <v>50</v>
      </c>
      <c r="I11" s="4">
        <v>2600</v>
      </c>
      <c r="J11" s="4">
        <v>593.86</v>
      </c>
      <c r="K11" s="4">
        <v>670</v>
      </c>
      <c r="L11" s="4">
        <v>2.52</v>
      </c>
      <c r="M11" s="4">
        <v>2.85</v>
      </c>
      <c r="N11" s="4">
        <f>I11/S11</f>
        <v>41.40127388535032</v>
      </c>
      <c r="O11" s="4">
        <v>195</v>
      </c>
      <c r="P11" s="4">
        <v>220</v>
      </c>
      <c r="Q11" s="4">
        <v>0</v>
      </c>
      <c r="R11" s="4" t="s">
        <v>69</v>
      </c>
      <c r="S11" s="4">
        <v>62.8</v>
      </c>
      <c r="T11" s="4">
        <v>0</v>
      </c>
      <c r="U11">
        <v>1</v>
      </c>
    </row>
    <row r="12" spans="1:22" ht="15" customHeight="1">
      <c r="A12" t="s">
        <v>123</v>
      </c>
      <c r="C12">
        <v>1100</v>
      </c>
      <c r="D12">
        <v>1.25</v>
      </c>
      <c r="E12">
        <v>1.25</v>
      </c>
      <c r="F12">
        <v>2000</v>
      </c>
      <c r="G12">
        <v>7</v>
      </c>
      <c r="I12">
        <v>0</v>
      </c>
      <c r="J12">
        <v>247</v>
      </c>
      <c r="K12">
        <v>260</v>
      </c>
      <c r="N12">
        <v>17.68</v>
      </c>
      <c r="O12">
        <v>285</v>
      </c>
      <c r="P12">
        <v>300</v>
      </c>
      <c r="Q12">
        <v>0</v>
      </c>
      <c r="R12" t="s">
        <v>123</v>
      </c>
      <c r="S12">
        <v>0</v>
      </c>
      <c r="T12">
        <v>1</v>
      </c>
      <c r="U12">
        <v>0</v>
      </c>
      <c r="V12" t="s">
        <v>119</v>
      </c>
    </row>
    <row r="13" spans="1:21" ht="15" customHeight="1">
      <c r="A13" t="s">
        <v>103</v>
      </c>
      <c r="B13" t="s">
        <v>26</v>
      </c>
      <c r="C13">
        <v>13000</v>
      </c>
      <c r="D13">
        <v>6</v>
      </c>
      <c r="E13">
        <v>6</v>
      </c>
      <c r="F13" t="s">
        <v>14</v>
      </c>
      <c r="G13">
        <v>7</v>
      </c>
      <c r="H13">
        <v>50</v>
      </c>
      <c r="I13">
        <v>0</v>
      </c>
      <c r="J13">
        <v>1379.03</v>
      </c>
      <c r="K13">
        <v>1500</v>
      </c>
      <c r="L13">
        <v>23.44</v>
      </c>
      <c r="M13">
        <v>25.49</v>
      </c>
      <c r="N13">
        <v>98.683</v>
      </c>
      <c r="O13">
        <v>285</v>
      </c>
      <c r="P13">
        <v>310</v>
      </c>
      <c r="Q13">
        <v>2</v>
      </c>
      <c r="R13" t="s">
        <v>46</v>
      </c>
      <c r="S13">
        <v>0</v>
      </c>
      <c r="T13">
        <v>1</v>
      </c>
      <c r="U13">
        <v>0</v>
      </c>
    </row>
    <row r="14" spans="1:21" ht="15" customHeight="1">
      <c r="A14" t="s">
        <v>30</v>
      </c>
      <c r="B14" t="s">
        <v>29</v>
      </c>
      <c r="C14">
        <v>39000</v>
      </c>
      <c r="D14">
        <v>15</v>
      </c>
      <c r="E14">
        <v>15</v>
      </c>
      <c r="F14" t="s">
        <v>14</v>
      </c>
      <c r="G14">
        <v>20</v>
      </c>
      <c r="H14">
        <v>50</v>
      </c>
      <c r="I14">
        <v>0</v>
      </c>
      <c r="J14">
        <v>3746.03</v>
      </c>
      <c r="K14">
        <v>4000</v>
      </c>
      <c r="L14">
        <v>25.47</v>
      </c>
      <c r="M14">
        <v>27.19</v>
      </c>
      <c r="N14">
        <v>258.978</v>
      </c>
      <c r="O14">
        <v>295</v>
      </c>
      <c r="P14">
        <v>315</v>
      </c>
      <c r="Q14">
        <v>2</v>
      </c>
      <c r="R14" t="s">
        <v>49</v>
      </c>
      <c r="S14">
        <v>0</v>
      </c>
      <c r="T14">
        <v>1</v>
      </c>
      <c r="U14">
        <v>0</v>
      </c>
    </row>
    <row r="15" spans="1:22" ht="15" customHeight="1">
      <c r="A15" t="s">
        <v>117</v>
      </c>
      <c r="C15">
        <v>8000</v>
      </c>
      <c r="D15">
        <v>5</v>
      </c>
      <c r="E15">
        <v>5</v>
      </c>
      <c r="F15">
        <v>2000</v>
      </c>
      <c r="G15">
        <v>15</v>
      </c>
      <c r="I15">
        <v>0</v>
      </c>
      <c r="J15">
        <v>1283.61</v>
      </c>
      <c r="K15">
        <v>1350</v>
      </c>
      <c r="N15">
        <v>90.27</v>
      </c>
      <c r="O15">
        <v>290</v>
      </c>
      <c r="P15">
        <v>305</v>
      </c>
      <c r="Q15">
        <v>5</v>
      </c>
      <c r="R15" t="s">
        <v>117</v>
      </c>
      <c r="S15">
        <v>0</v>
      </c>
      <c r="T15">
        <v>1</v>
      </c>
      <c r="U15">
        <v>0</v>
      </c>
      <c r="V15" t="s">
        <v>119</v>
      </c>
    </row>
    <row r="16" spans="1:21" ht="15" customHeight="1">
      <c r="A16" t="s">
        <v>104</v>
      </c>
      <c r="B16" s="4" t="s">
        <v>96</v>
      </c>
      <c r="C16" s="4">
        <v>75</v>
      </c>
      <c r="D16" s="4">
        <v>0.375</v>
      </c>
      <c r="E16" s="4">
        <v>0.075</v>
      </c>
      <c r="F16" s="4" t="s">
        <v>64</v>
      </c>
      <c r="G16" s="4">
        <v>7</v>
      </c>
      <c r="H16" s="4">
        <v>50</v>
      </c>
      <c r="I16" s="4">
        <v>40</v>
      </c>
      <c r="J16" s="4">
        <v>11.012</v>
      </c>
      <c r="K16" s="4">
        <v>12.5</v>
      </c>
      <c r="L16" s="4">
        <v>2.93</v>
      </c>
      <c r="M16" s="4">
        <v>3.33</v>
      </c>
      <c r="N16" s="4">
        <f>I16/S16</f>
        <v>0.8090614886731392</v>
      </c>
      <c r="O16" s="4">
        <v>185</v>
      </c>
      <c r="P16" s="4">
        <v>210</v>
      </c>
      <c r="Q16" s="4">
        <v>0</v>
      </c>
      <c r="R16" s="4" t="s">
        <v>105</v>
      </c>
      <c r="S16" s="4">
        <v>49.44</v>
      </c>
      <c r="T16" s="4">
        <v>0</v>
      </c>
      <c r="U16">
        <v>1</v>
      </c>
    </row>
    <row r="17" spans="2:21" ht="15" customHeight="1">
      <c r="B17">
        <v>0</v>
      </c>
      <c r="C17">
        <v>0</v>
      </c>
      <c r="D17">
        <v>0</v>
      </c>
      <c r="E17">
        <f>D17</f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t="s">
        <v>3</v>
      </c>
      <c r="S17">
        <v>0</v>
      </c>
      <c r="T17">
        <v>0</v>
      </c>
      <c r="U17" s="4">
        <v>0</v>
      </c>
    </row>
    <row r="18" spans="1:22" ht="15" customHeight="1">
      <c r="A18" t="s">
        <v>125</v>
      </c>
      <c r="C18">
        <v>6000</v>
      </c>
      <c r="D18">
        <v>51.5</v>
      </c>
      <c r="E18">
        <v>8</v>
      </c>
      <c r="F18">
        <v>2000</v>
      </c>
      <c r="G18">
        <v>7</v>
      </c>
      <c r="I18">
        <v>5800</v>
      </c>
      <c r="J18">
        <v>1155.56</v>
      </c>
      <c r="K18">
        <v>1300</v>
      </c>
      <c r="N18">
        <v>78.56</v>
      </c>
      <c r="O18">
        <v>200</v>
      </c>
      <c r="P18">
        <v>225</v>
      </c>
      <c r="Q18">
        <v>0</v>
      </c>
      <c r="R18" t="s">
        <v>125</v>
      </c>
      <c r="S18">
        <v>65.6</v>
      </c>
      <c r="T18">
        <v>0</v>
      </c>
      <c r="U18">
        <v>1</v>
      </c>
      <c r="V18" t="s">
        <v>119</v>
      </c>
    </row>
    <row r="19" spans="1:21" ht="15" customHeight="1">
      <c r="A19" t="s">
        <v>25</v>
      </c>
      <c r="B19" t="s">
        <v>26</v>
      </c>
      <c r="C19">
        <v>1300</v>
      </c>
      <c r="D19">
        <v>1.75</v>
      </c>
      <c r="E19">
        <v>1.75</v>
      </c>
      <c r="F19" t="s">
        <v>14</v>
      </c>
      <c r="G19">
        <v>7</v>
      </c>
      <c r="H19">
        <v>50</v>
      </c>
      <c r="I19">
        <v>0</v>
      </c>
      <c r="J19">
        <v>64.29</v>
      </c>
      <c r="K19">
        <v>250</v>
      </c>
      <c r="L19">
        <v>3.75</v>
      </c>
      <c r="M19">
        <v>14.57</v>
      </c>
      <c r="N19">
        <v>14.568</v>
      </c>
      <c r="O19">
        <v>90</v>
      </c>
      <c r="P19">
        <v>350</v>
      </c>
      <c r="Q19">
        <v>4.5</v>
      </c>
      <c r="R19" t="s">
        <v>45</v>
      </c>
      <c r="S19">
        <v>0</v>
      </c>
      <c r="T19">
        <v>1</v>
      </c>
      <c r="U19">
        <v>0</v>
      </c>
    </row>
    <row r="20" spans="1:21" ht="15" customHeight="1">
      <c r="A20" t="s">
        <v>106</v>
      </c>
      <c r="B20" t="s">
        <v>21</v>
      </c>
      <c r="C20">
        <v>6000</v>
      </c>
      <c r="D20">
        <v>2</v>
      </c>
      <c r="E20">
        <v>2</v>
      </c>
      <c r="F20" t="s">
        <v>14</v>
      </c>
      <c r="G20">
        <v>20</v>
      </c>
      <c r="H20">
        <v>50</v>
      </c>
      <c r="I20">
        <v>0</v>
      </c>
      <c r="J20">
        <v>162.3</v>
      </c>
      <c r="K20">
        <v>180</v>
      </c>
      <c r="L20">
        <v>8.27</v>
      </c>
      <c r="M20">
        <v>9.18</v>
      </c>
      <c r="N20">
        <v>12.036</v>
      </c>
      <c r="O20">
        <v>275</v>
      </c>
      <c r="P20">
        <v>305</v>
      </c>
      <c r="Q20">
        <v>3</v>
      </c>
      <c r="R20" t="s">
        <v>107</v>
      </c>
      <c r="S20">
        <v>0</v>
      </c>
      <c r="T20">
        <v>1</v>
      </c>
      <c r="U20">
        <v>0</v>
      </c>
    </row>
    <row r="21" spans="1:21" ht="15" customHeight="1">
      <c r="A21" t="s">
        <v>22</v>
      </c>
      <c r="B21" t="s">
        <v>21</v>
      </c>
      <c r="C21">
        <v>1100</v>
      </c>
      <c r="D21">
        <v>1.25</v>
      </c>
      <c r="E21">
        <v>1.25</v>
      </c>
      <c r="F21" t="s">
        <v>14</v>
      </c>
      <c r="G21">
        <v>7</v>
      </c>
      <c r="H21">
        <v>50</v>
      </c>
      <c r="I21">
        <v>0</v>
      </c>
      <c r="J21">
        <v>205.16</v>
      </c>
      <c r="K21">
        <v>240</v>
      </c>
      <c r="L21">
        <v>16.74</v>
      </c>
      <c r="M21">
        <v>19.58</v>
      </c>
      <c r="N21">
        <v>15.789</v>
      </c>
      <c r="O21">
        <v>265</v>
      </c>
      <c r="P21">
        <v>310</v>
      </c>
      <c r="Q21">
        <v>0</v>
      </c>
      <c r="R21" t="s">
        <v>42</v>
      </c>
      <c r="S21">
        <v>0</v>
      </c>
      <c r="T21">
        <v>1</v>
      </c>
      <c r="U21">
        <v>0</v>
      </c>
    </row>
    <row r="22" spans="1:21" ht="15" customHeight="1">
      <c r="A22" t="s">
        <v>28</v>
      </c>
      <c r="B22" t="s">
        <v>29</v>
      </c>
      <c r="C22">
        <v>25000</v>
      </c>
      <c r="D22">
        <v>9</v>
      </c>
      <c r="E22">
        <v>9</v>
      </c>
      <c r="F22" t="s">
        <v>14</v>
      </c>
      <c r="G22">
        <v>7</v>
      </c>
      <c r="H22">
        <v>50</v>
      </c>
      <c r="I22">
        <v>0</v>
      </c>
      <c r="J22">
        <v>1205.88</v>
      </c>
      <c r="K22">
        <v>2000</v>
      </c>
      <c r="L22">
        <v>13.66</v>
      </c>
      <c r="M22">
        <v>22.66</v>
      </c>
      <c r="N22">
        <v>119.968</v>
      </c>
      <c r="O22">
        <v>205</v>
      </c>
      <c r="P22">
        <v>340</v>
      </c>
      <c r="Q22">
        <v>4</v>
      </c>
      <c r="R22" t="s">
        <v>48</v>
      </c>
      <c r="S22">
        <v>0</v>
      </c>
      <c r="T22">
        <v>1</v>
      </c>
      <c r="U22">
        <v>0</v>
      </c>
    </row>
    <row r="23" spans="1:21" ht="15" customHeight="1">
      <c r="A23" t="s">
        <v>66</v>
      </c>
      <c r="B23" s="4" t="s">
        <v>13</v>
      </c>
      <c r="C23" s="4">
        <v>75</v>
      </c>
      <c r="D23" s="4">
        <v>0.1</v>
      </c>
      <c r="E23" s="4">
        <v>0</v>
      </c>
      <c r="F23" s="4" t="s">
        <v>14</v>
      </c>
      <c r="G23" s="4">
        <v>7</v>
      </c>
      <c r="H23" s="4">
        <v>50</v>
      </c>
      <c r="I23" s="4">
        <v>8</v>
      </c>
      <c r="J23" s="4">
        <v>13.79</v>
      </c>
      <c r="K23" s="4">
        <v>18</v>
      </c>
      <c r="L23" s="4">
        <v>19.4</v>
      </c>
      <c r="M23" s="4">
        <v>25.32</v>
      </c>
      <c r="N23" s="4">
        <f>I23/S23</f>
        <v>1.6</v>
      </c>
      <c r="O23" s="4">
        <v>118</v>
      </c>
      <c r="P23" s="4">
        <v>154</v>
      </c>
      <c r="Q23" s="4">
        <v>0</v>
      </c>
      <c r="R23" s="4" t="s">
        <v>70</v>
      </c>
      <c r="S23" s="4">
        <v>5</v>
      </c>
      <c r="T23" s="4">
        <v>0</v>
      </c>
      <c r="U23">
        <v>1</v>
      </c>
    </row>
    <row r="24" spans="1:21" ht="15" customHeight="1">
      <c r="A24" t="s">
        <v>108</v>
      </c>
      <c r="B24" s="4" t="s">
        <v>96</v>
      </c>
      <c r="C24" s="4">
        <v>150</v>
      </c>
      <c r="D24" s="4">
        <v>0.875</v>
      </c>
      <c r="E24" s="4">
        <v>0.155</v>
      </c>
      <c r="F24" s="4" t="s">
        <v>64</v>
      </c>
      <c r="G24" s="4">
        <v>7</v>
      </c>
      <c r="H24" s="4">
        <v>50</v>
      </c>
      <c r="I24" s="4">
        <v>90</v>
      </c>
      <c r="J24" s="4">
        <v>26.512</v>
      </c>
      <c r="K24" s="4">
        <v>30</v>
      </c>
      <c r="L24" s="4">
        <v>3.22</v>
      </c>
      <c r="M24" s="4">
        <v>3.65</v>
      </c>
      <c r="N24" s="4">
        <f>I24/S24</f>
        <v>1.897133220910624</v>
      </c>
      <c r="O24" s="4">
        <v>190</v>
      </c>
      <c r="P24" s="4">
        <v>215</v>
      </c>
      <c r="Q24" s="4">
        <v>0</v>
      </c>
      <c r="R24" s="4" t="s">
        <v>109</v>
      </c>
      <c r="S24" s="4">
        <v>47.44</v>
      </c>
      <c r="T24" s="4">
        <v>0</v>
      </c>
      <c r="U24">
        <v>1</v>
      </c>
    </row>
    <row r="25" spans="1:22" ht="15" customHeight="1">
      <c r="A25" t="s">
        <v>121</v>
      </c>
      <c r="C25">
        <v>2300</v>
      </c>
      <c r="D25">
        <v>1.6</v>
      </c>
      <c r="E25">
        <v>1.6</v>
      </c>
      <c r="F25">
        <v>2000</v>
      </c>
      <c r="G25">
        <v>7</v>
      </c>
      <c r="I25">
        <v>0</v>
      </c>
      <c r="J25">
        <v>240.91</v>
      </c>
      <c r="K25">
        <v>300</v>
      </c>
      <c r="N25">
        <v>16.54</v>
      </c>
      <c r="O25">
        <v>265</v>
      </c>
      <c r="P25">
        <v>330</v>
      </c>
      <c r="Q25">
        <v>2</v>
      </c>
      <c r="R25" t="s">
        <v>121</v>
      </c>
      <c r="S25">
        <v>0</v>
      </c>
      <c r="T25">
        <v>1</v>
      </c>
      <c r="U25">
        <v>0</v>
      </c>
      <c r="V25" t="s">
        <v>119</v>
      </c>
    </row>
    <row r="26" spans="1:21" ht="15" customHeight="1">
      <c r="A26" t="s">
        <v>27</v>
      </c>
      <c r="B26" t="s">
        <v>26</v>
      </c>
      <c r="C26">
        <v>5300</v>
      </c>
      <c r="D26">
        <v>3</v>
      </c>
      <c r="E26">
        <v>3</v>
      </c>
      <c r="F26" t="s">
        <v>14</v>
      </c>
      <c r="G26">
        <v>8</v>
      </c>
      <c r="H26">
        <v>50</v>
      </c>
      <c r="I26">
        <v>0</v>
      </c>
      <c r="J26">
        <v>568.75</v>
      </c>
      <c r="K26">
        <v>650</v>
      </c>
      <c r="L26">
        <v>19.33</v>
      </c>
      <c r="M26">
        <v>22.09</v>
      </c>
      <c r="N26">
        <v>41.426</v>
      </c>
      <c r="O26">
        <v>280</v>
      </c>
      <c r="P26">
        <v>320</v>
      </c>
      <c r="Q26">
        <v>2</v>
      </c>
      <c r="R26" t="s">
        <v>6</v>
      </c>
      <c r="S26">
        <v>0</v>
      </c>
      <c r="T26">
        <v>1</v>
      </c>
      <c r="U26">
        <v>0</v>
      </c>
    </row>
    <row r="27" spans="1:21" ht="15" customHeight="1">
      <c r="A27" t="s">
        <v>19</v>
      </c>
      <c r="B27" t="s">
        <v>18</v>
      </c>
      <c r="C27">
        <v>240</v>
      </c>
      <c r="D27">
        <v>0.13</v>
      </c>
      <c r="E27">
        <v>0.13</v>
      </c>
      <c r="F27" t="s">
        <v>14</v>
      </c>
      <c r="G27">
        <v>7</v>
      </c>
      <c r="H27">
        <v>50</v>
      </c>
      <c r="I27">
        <v>0</v>
      </c>
      <c r="J27">
        <v>16.56</v>
      </c>
      <c r="K27">
        <v>20</v>
      </c>
      <c r="L27">
        <v>12.99</v>
      </c>
      <c r="M27">
        <v>15.69</v>
      </c>
      <c r="N27">
        <v>1.275</v>
      </c>
      <c r="O27">
        <v>265</v>
      </c>
      <c r="P27">
        <v>320</v>
      </c>
      <c r="Q27">
        <v>3</v>
      </c>
      <c r="R27" t="s">
        <v>41</v>
      </c>
      <c r="S27">
        <v>0</v>
      </c>
      <c r="T27">
        <v>1</v>
      </c>
      <c r="U27">
        <v>0</v>
      </c>
    </row>
    <row r="28" spans="1:21" ht="15" customHeight="1">
      <c r="A28" t="s">
        <v>12</v>
      </c>
      <c r="B28" t="s">
        <v>13</v>
      </c>
      <c r="C28">
        <v>120</v>
      </c>
      <c r="D28">
        <v>0.02</v>
      </c>
      <c r="E28">
        <v>0.02</v>
      </c>
      <c r="F28" t="s">
        <v>14</v>
      </c>
      <c r="G28">
        <v>7</v>
      </c>
      <c r="H28">
        <v>50</v>
      </c>
      <c r="I28">
        <v>0</v>
      </c>
      <c r="J28">
        <v>1.79</v>
      </c>
      <c r="K28">
        <v>2</v>
      </c>
      <c r="L28">
        <v>9.14</v>
      </c>
      <c r="M28">
        <v>10.2</v>
      </c>
      <c r="N28">
        <v>0.141</v>
      </c>
      <c r="O28">
        <v>260</v>
      </c>
      <c r="P28">
        <v>290</v>
      </c>
      <c r="Q28">
        <v>10</v>
      </c>
      <c r="R28" t="s">
        <v>31</v>
      </c>
      <c r="S28">
        <v>0</v>
      </c>
      <c r="T28">
        <v>1</v>
      </c>
      <c r="U28">
        <v>0</v>
      </c>
    </row>
    <row r="29" spans="1:21" ht="15" customHeight="1">
      <c r="A29" t="s">
        <v>23</v>
      </c>
      <c r="B29" t="s">
        <v>21</v>
      </c>
      <c r="C29">
        <v>1200</v>
      </c>
      <c r="D29">
        <v>1.5</v>
      </c>
      <c r="E29">
        <v>1.5</v>
      </c>
      <c r="F29" t="s">
        <v>14</v>
      </c>
      <c r="G29">
        <v>7</v>
      </c>
      <c r="H29">
        <v>50</v>
      </c>
      <c r="I29">
        <v>0</v>
      </c>
      <c r="J29">
        <v>167.97</v>
      </c>
      <c r="K29">
        <v>215</v>
      </c>
      <c r="L29">
        <v>11.42</v>
      </c>
      <c r="M29">
        <v>14.62</v>
      </c>
      <c r="N29">
        <v>13.703</v>
      </c>
      <c r="O29">
        <v>250</v>
      </c>
      <c r="P29">
        <v>290</v>
      </c>
      <c r="Q29">
        <v>3</v>
      </c>
      <c r="R29" t="s">
        <v>4</v>
      </c>
      <c r="S29">
        <v>0</v>
      </c>
      <c r="T29">
        <v>1</v>
      </c>
      <c r="U29">
        <v>0</v>
      </c>
    </row>
    <row r="30" spans="1:21" ht="15" customHeight="1">
      <c r="A30" t="s">
        <v>20</v>
      </c>
      <c r="B30" t="s">
        <v>21</v>
      </c>
      <c r="C30">
        <v>390</v>
      </c>
      <c r="D30">
        <v>0.5</v>
      </c>
      <c r="E30">
        <v>0.5</v>
      </c>
      <c r="F30" t="s">
        <v>14</v>
      </c>
      <c r="G30">
        <v>7</v>
      </c>
      <c r="H30">
        <v>50</v>
      </c>
      <c r="I30">
        <v>0</v>
      </c>
      <c r="J30">
        <v>14.78</v>
      </c>
      <c r="K30">
        <v>60</v>
      </c>
      <c r="L30">
        <v>3.01</v>
      </c>
      <c r="M30">
        <v>12.24</v>
      </c>
      <c r="N30">
        <v>3.547</v>
      </c>
      <c r="O30">
        <v>85</v>
      </c>
      <c r="P30">
        <v>345</v>
      </c>
      <c r="Q30">
        <v>4</v>
      </c>
      <c r="R30" t="s">
        <v>110</v>
      </c>
      <c r="S30">
        <v>0</v>
      </c>
      <c r="T30">
        <v>1</v>
      </c>
      <c r="U30">
        <v>0</v>
      </c>
    </row>
    <row r="31" spans="1:21" ht="15" customHeight="1">
      <c r="A31" t="s">
        <v>111</v>
      </c>
      <c r="B31" s="4" t="s">
        <v>98</v>
      </c>
      <c r="C31" s="4">
        <v>9000</v>
      </c>
      <c r="D31" s="4">
        <v>70</v>
      </c>
      <c r="E31" s="4">
        <v>10</v>
      </c>
      <c r="F31" s="4" t="s">
        <v>64</v>
      </c>
      <c r="G31" s="4">
        <v>10</v>
      </c>
      <c r="H31" s="4">
        <v>50</v>
      </c>
      <c r="I31" s="4">
        <v>8000</v>
      </c>
      <c r="J31" s="4">
        <v>1515.217</v>
      </c>
      <c r="K31" s="4">
        <v>1700</v>
      </c>
      <c r="L31" s="4">
        <v>2.16</v>
      </c>
      <c r="M31" s="4">
        <v>2.43</v>
      </c>
      <c r="N31" s="4">
        <f>I31/S31</f>
        <v>100.50251256281408</v>
      </c>
      <c r="O31" s="4">
        <v>205</v>
      </c>
      <c r="P31" s="4">
        <v>230</v>
      </c>
      <c r="Q31" s="4">
        <v>0</v>
      </c>
      <c r="R31" s="4" t="s">
        <v>112</v>
      </c>
      <c r="S31" s="4">
        <v>79.6</v>
      </c>
      <c r="T31" s="4">
        <v>0</v>
      </c>
      <c r="U31">
        <v>1</v>
      </c>
    </row>
    <row r="32" spans="1:21" ht="15" customHeight="1">
      <c r="A32" t="s">
        <v>16</v>
      </c>
      <c r="B32" t="s">
        <v>13</v>
      </c>
      <c r="C32">
        <v>820</v>
      </c>
      <c r="D32">
        <v>0.9</v>
      </c>
      <c r="E32">
        <v>0.9</v>
      </c>
      <c r="F32" t="s">
        <v>14</v>
      </c>
      <c r="G32">
        <v>7</v>
      </c>
      <c r="H32">
        <v>50</v>
      </c>
      <c r="I32">
        <v>0</v>
      </c>
      <c r="J32">
        <v>108.2</v>
      </c>
      <c r="K32">
        <v>120</v>
      </c>
      <c r="L32">
        <v>12.26</v>
      </c>
      <c r="M32">
        <v>13.6</v>
      </c>
      <c r="N32">
        <v>8.024</v>
      </c>
      <c r="O32">
        <v>275</v>
      </c>
      <c r="P32">
        <v>305</v>
      </c>
      <c r="Q32">
        <v>8</v>
      </c>
      <c r="R32" t="s">
        <v>7</v>
      </c>
      <c r="S32">
        <v>0</v>
      </c>
      <c r="T32">
        <v>1</v>
      </c>
      <c r="U32">
        <v>0</v>
      </c>
    </row>
    <row r="33" spans="1:21" ht="15" customHeight="1">
      <c r="A33" t="s">
        <v>63</v>
      </c>
      <c r="B33" s="4" t="s">
        <v>102</v>
      </c>
      <c r="C33" s="4">
        <v>850</v>
      </c>
      <c r="D33" s="4">
        <v>7.65</v>
      </c>
      <c r="E33" s="4">
        <v>1.5</v>
      </c>
      <c r="F33" s="4" t="s">
        <v>64</v>
      </c>
      <c r="G33" s="4">
        <v>7</v>
      </c>
      <c r="H33" s="4">
        <v>50</v>
      </c>
      <c r="I33" s="4">
        <v>820</v>
      </c>
      <c r="J33" s="4">
        <v>250</v>
      </c>
      <c r="K33" s="4">
        <v>300</v>
      </c>
      <c r="L33" s="4">
        <v>3.33</v>
      </c>
      <c r="M33" s="4">
        <v>4</v>
      </c>
      <c r="N33" s="4">
        <f>I33/S33</f>
        <v>19.43127962085308</v>
      </c>
      <c r="O33" s="4">
        <v>175</v>
      </c>
      <c r="P33" s="4">
        <v>210</v>
      </c>
      <c r="Q33" s="4">
        <v>0</v>
      </c>
      <c r="R33" s="4" t="s">
        <v>113</v>
      </c>
      <c r="S33" s="4">
        <v>42.2</v>
      </c>
      <c r="T33" s="4">
        <v>0</v>
      </c>
      <c r="U33">
        <v>1</v>
      </c>
    </row>
    <row r="34" spans="1:21" ht="15" customHeight="1">
      <c r="A34" t="s">
        <v>15</v>
      </c>
      <c r="B34" t="s">
        <v>13</v>
      </c>
      <c r="C34">
        <v>230</v>
      </c>
      <c r="D34">
        <v>0.08</v>
      </c>
      <c r="E34">
        <v>0.08</v>
      </c>
      <c r="F34" t="s">
        <v>14</v>
      </c>
      <c r="G34">
        <v>7</v>
      </c>
      <c r="H34">
        <v>50</v>
      </c>
      <c r="I34">
        <v>0</v>
      </c>
      <c r="J34">
        <v>15.17</v>
      </c>
      <c r="K34">
        <v>16</v>
      </c>
      <c r="L34">
        <v>19.34</v>
      </c>
      <c r="M34">
        <v>20.39</v>
      </c>
      <c r="N34">
        <v>1.125</v>
      </c>
      <c r="O34">
        <v>275</v>
      </c>
      <c r="P34">
        <v>290</v>
      </c>
      <c r="Q34">
        <v>8</v>
      </c>
      <c r="R34" t="s">
        <v>39</v>
      </c>
      <c r="S34">
        <v>0</v>
      </c>
      <c r="T34">
        <v>1</v>
      </c>
      <c r="U34">
        <v>0</v>
      </c>
    </row>
    <row r="35" spans="1:21" ht="15" customHeight="1">
      <c r="A35" t="s">
        <v>24</v>
      </c>
      <c r="B35" t="s">
        <v>102</v>
      </c>
      <c r="C35">
        <v>18000</v>
      </c>
      <c r="D35">
        <v>4</v>
      </c>
      <c r="E35">
        <v>4</v>
      </c>
      <c r="F35" t="s">
        <v>14</v>
      </c>
      <c r="G35">
        <v>22</v>
      </c>
      <c r="H35">
        <v>50</v>
      </c>
      <c r="I35">
        <v>0</v>
      </c>
      <c r="J35">
        <v>936.51</v>
      </c>
      <c r="K35">
        <v>1000</v>
      </c>
      <c r="L35">
        <v>23.87</v>
      </c>
      <c r="M35">
        <v>25.49</v>
      </c>
      <c r="N35">
        <v>64.745</v>
      </c>
      <c r="O35">
        <v>295</v>
      </c>
      <c r="P35">
        <v>315</v>
      </c>
      <c r="Q35">
        <v>10.5</v>
      </c>
      <c r="R35" t="s">
        <v>43</v>
      </c>
      <c r="S35">
        <v>0</v>
      </c>
      <c r="T35">
        <v>1</v>
      </c>
      <c r="U35">
        <v>0</v>
      </c>
    </row>
    <row r="36" spans="1:22" ht="15" customHeight="1">
      <c r="A36" t="s">
        <v>122</v>
      </c>
      <c r="C36">
        <v>3000</v>
      </c>
      <c r="D36">
        <v>3.3</v>
      </c>
      <c r="E36">
        <v>3.3</v>
      </c>
      <c r="F36">
        <v>2000</v>
      </c>
      <c r="G36">
        <v>7</v>
      </c>
      <c r="I36">
        <v>0</v>
      </c>
      <c r="J36">
        <v>69.08</v>
      </c>
      <c r="K36">
        <v>375</v>
      </c>
      <c r="N36">
        <v>20.13</v>
      </c>
      <c r="O36">
        <v>70</v>
      </c>
      <c r="P36">
        <v>380</v>
      </c>
      <c r="Q36">
        <v>3</v>
      </c>
      <c r="R36" t="s">
        <v>122</v>
      </c>
      <c r="S36">
        <v>0</v>
      </c>
      <c r="T36">
        <v>1</v>
      </c>
      <c r="U36">
        <v>0</v>
      </c>
      <c r="V36" t="s">
        <v>119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</dc:creator>
  <cp:keywords/>
  <dc:description/>
  <cp:lastModifiedBy>Tyler</cp:lastModifiedBy>
  <dcterms:created xsi:type="dcterms:W3CDTF">2017-11-22T15:33:51Z</dcterms:created>
  <dcterms:modified xsi:type="dcterms:W3CDTF">2020-11-12T17:12:33Z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